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6\3M 2026\4. Suplemento Financiero\"/>
    </mc:Choice>
  </mc:AlternateContent>
  <xr:revisionPtr revIDLastSave="0" documentId="13_ncr:1_{D842FB1B-EF80-4EEA-9689-FD0FE696DFDB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17&amp;9'!$B$1:$T$3</definedName>
    <definedName name="_xlnm.Print_Area" localSheetId="6">'Home - IFRS 17&amp;9'!$B$1:$T$3</definedName>
    <definedName name="_xlnm.Print_Area" localSheetId="5">'Motor - IFRS 17&amp;9'!$B$1:$T$3</definedName>
    <definedName name="_xlnm.Print_Area" localSheetId="13">'Motor - IFRS 4'!$B$1:$AM$18</definedName>
    <definedName name="_xlnm.Print_Area" localSheetId="8">'Other - IFRS 17&amp;9'!$B$1:$T$3</definedName>
    <definedName name="_xlnm.Print_Area" localSheetId="16">'Other - IFRS 4'!$B$1:$AM$19</definedName>
    <definedName name="_xlnm.Print_Area" localSheetId="3">'P&amp;L - IFRS 17&amp;9'!$B$1:$S$29</definedName>
    <definedName name="_xlnm.Print_Area" localSheetId="11">'P&amp;L - IFRS 4'!$B$1:$AL$26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36" l="1"/>
  <c r="AF9" i="36"/>
  <c r="AF8" i="36"/>
  <c r="BD5" i="36"/>
  <c r="BD9" i="35"/>
  <c r="BD8" i="35"/>
  <c r="BD7" i="35"/>
  <c r="BD6" i="35"/>
  <c r="BD5" i="35"/>
  <c r="AF5" i="35"/>
  <c r="BD9" i="34"/>
  <c r="AF8" i="34"/>
  <c r="AF7" i="34"/>
  <c r="AF6" i="34"/>
  <c r="AF5" i="34"/>
  <c r="AF9" i="33"/>
  <c r="AF8" i="33"/>
  <c r="AF7" i="33"/>
  <c r="BD5" i="33"/>
  <c r="AE11" i="36" l="1"/>
  <c r="AF7" i="35"/>
  <c r="BD8" i="34"/>
  <c r="AE10" i="35"/>
  <c r="BD17" i="35"/>
  <c r="AF8" i="35"/>
  <c r="BD8" i="33"/>
  <c r="BD7" i="33"/>
  <c r="BD18" i="35"/>
  <c r="BD16" i="35"/>
  <c r="AE18" i="35"/>
  <c r="BD9" i="33"/>
  <c r="AE17" i="34"/>
  <c r="AE19" i="36"/>
  <c r="BD10" i="35"/>
  <c r="BD7" i="36"/>
  <c r="AE16" i="34"/>
  <c r="AF5" i="36"/>
  <c r="BD8" i="36"/>
  <c r="AF6" i="36"/>
  <c r="BD9" i="36"/>
  <c r="BD6" i="36"/>
  <c r="AF7" i="36"/>
  <c r="AF5" i="33"/>
  <c r="BD5" i="34"/>
  <c r="AE17" i="36"/>
  <c r="AE16" i="33"/>
  <c r="AF6" i="33"/>
  <c r="BD6" i="34"/>
  <c r="BD17" i="34" s="1"/>
  <c r="AE18" i="36"/>
  <c r="BD6" i="33"/>
  <c r="BD7" i="34"/>
  <c r="BD18" i="34" s="1"/>
  <c r="AE17" i="35"/>
  <c r="AE16" i="35"/>
  <c r="AF6" i="35"/>
  <c r="AE10" i="34"/>
  <c r="AE18" i="34"/>
  <c r="AE10" i="33"/>
  <c r="AE17" i="33"/>
  <c r="AE18" i="33"/>
  <c r="BD10" i="33" l="1"/>
  <c r="BD11" i="36"/>
  <c r="BD18" i="36"/>
  <c r="BD19" i="36"/>
  <c r="BD17" i="36"/>
  <c r="BD16" i="33"/>
  <c r="BD16" i="34"/>
  <c r="BD10" i="34"/>
  <c r="BD18" i="33"/>
  <c r="BD17" i="33"/>
  <c r="AF37" i="32"/>
  <c r="AF36" i="32"/>
  <c r="AF35" i="32"/>
  <c r="AF34" i="32"/>
  <c r="AF27" i="32"/>
  <c r="AF26" i="32"/>
  <c r="AF25" i="32"/>
  <c r="AF24" i="32"/>
  <c r="AF18" i="32"/>
  <c r="AF17" i="32"/>
  <c r="AF15" i="32"/>
  <c r="AF9" i="32"/>
  <c r="AF8" i="32"/>
  <c r="AF7" i="32"/>
  <c r="AF33" i="32"/>
  <c r="AE13" i="31"/>
  <c r="M6" i="40"/>
  <c r="M34" i="40" l="1"/>
  <c r="M12" i="40"/>
  <c r="M25" i="40"/>
  <c r="M31" i="40" s="1"/>
  <c r="M17" i="40"/>
  <c r="AE10" i="31"/>
  <c r="AE10" i="32"/>
  <c r="AE19" i="32"/>
  <c r="AF16" i="32"/>
  <c r="AE28" i="32"/>
  <c r="AF6" i="32"/>
  <c r="AE14" i="31"/>
  <c r="AE16" i="31" s="1"/>
  <c r="AE18" i="31" s="1"/>
  <c r="M35" i="40"/>
  <c r="M26" i="23" l="1"/>
  <c r="M20" i="23"/>
  <c r="L53" i="19"/>
  <c r="L36" i="19"/>
  <c r="L13" i="19"/>
  <c r="L6" i="19"/>
  <c r="L5" i="19"/>
  <c r="L22" i="19" s="1"/>
  <c r="L24" i="19" s="1"/>
  <c r="M9" i="23" l="1"/>
  <c r="M25" i="23"/>
  <c r="R5" i="41"/>
  <c r="BC18" i="31"/>
  <c r="BC17" i="31"/>
  <c r="BC16" i="31"/>
  <c r="BC15" i="31"/>
  <c r="BC14" i="31"/>
  <c r="BC13" i="31"/>
  <c r="BC12" i="31"/>
  <c r="BC11" i="31"/>
  <c r="BC10" i="31"/>
  <c r="BC9" i="31"/>
  <c r="BC8" i="31"/>
  <c r="BC7" i="31"/>
  <c r="BC6" i="31"/>
  <c r="BC5" i="31"/>
  <c r="AE26" i="31"/>
  <c r="AE25" i="31"/>
  <c r="AE24" i="31"/>
  <c r="AG10" i="30"/>
  <c r="AG9" i="30"/>
  <c r="S7" i="30"/>
  <c r="S6" i="30"/>
  <c r="S5" i="30"/>
  <c r="S10" i="30"/>
  <c r="S9" i="30"/>
  <c r="AG10" i="29"/>
  <c r="S7" i="29"/>
  <c r="S5" i="29"/>
  <c r="S10" i="28"/>
  <c r="AG9" i="28"/>
  <c r="S7" i="28"/>
  <c r="AG6" i="28"/>
  <c r="AG5" i="28"/>
  <c r="R8" i="28"/>
  <c r="S10" i="14"/>
  <c r="S9" i="14"/>
  <c r="AG6" i="14"/>
  <c r="S5" i="14"/>
  <c r="S46" i="13"/>
  <c r="S44" i="13"/>
  <c r="S43" i="13"/>
  <c r="S42" i="13"/>
  <c r="S36" i="13"/>
  <c r="S35" i="13"/>
  <c r="S34" i="13"/>
  <c r="S33" i="13"/>
  <c r="S27" i="13"/>
  <c r="S26" i="13"/>
  <c r="S17" i="13"/>
  <c r="S16" i="13"/>
  <c r="S9" i="13"/>
  <c r="S8" i="13"/>
  <c r="S7" i="13"/>
  <c r="S18" i="13"/>
  <c r="S45" i="13"/>
  <c r="AB5" i="25"/>
  <c r="AF20" i="25"/>
  <c r="AF18" i="25"/>
  <c r="AF16" i="25"/>
  <c r="AF14" i="25"/>
  <c r="AF11" i="25"/>
  <c r="AF7" i="25"/>
  <c r="AF6" i="25"/>
  <c r="AF5" i="25"/>
  <c r="I6" i="26"/>
  <c r="H34" i="26"/>
  <c r="H38" i="26" s="1"/>
  <c r="H39" i="26" s="1"/>
  <c r="H32" i="26"/>
  <c r="H27" i="26"/>
  <c r="H14" i="26"/>
  <c r="H6" i="26"/>
  <c r="H19" i="26" s="1"/>
  <c r="H8" i="26"/>
  <c r="L20" i="23"/>
  <c r="L9" i="23"/>
  <c r="M13" i="19"/>
  <c r="P12" i="41"/>
  <c r="BB10" i="36"/>
  <c r="BB9" i="36"/>
  <c r="BB8" i="36"/>
  <c r="BB7" i="36"/>
  <c r="BB6" i="36"/>
  <c r="BB5" i="36"/>
  <c r="AC19" i="36"/>
  <c r="AC18" i="36"/>
  <c r="AC17" i="36"/>
  <c r="AC11" i="36"/>
  <c r="BB9" i="35"/>
  <c r="BB8" i="35"/>
  <c r="BB7" i="35"/>
  <c r="BB6" i="35"/>
  <c r="BB5" i="35"/>
  <c r="AC18" i="35"/>
  <c r="AC17" i="35"/>
  <c r="AC16" i="35"/>
  <c r="AC10" i="35"/>
  <c r="BB9" i="34"/>
  <c r="BB8" i="34"/>
  <c r="BB7" i="34"/>
  <c r="BB6" i="34"/>
  <c r="BB5" i="34"/>
  <c r="AC18" i="34"/>
  <c r="AC17" i="34"/>
  <c r="AC16" i="34"/>
  <c r="AC10" i="34"/>
  <c r="BB9" i="33"/>
  <c r="BB8" i="33"/>
  <c r="BB7" i="33"/>
  <c r="BB6" i="33"/>
  <c r="BB5" i="33"/>
  <c r="AC18" i="33"/>
  <c r="AC17" i="33"/>
  <c r="AC16" i="33"/>
  <c r="AC10" i="33"/>
  <c r="AC28" i="32"/>
  <c r="AC19" i="32"/>
  <c r="AC10" i="32"/>
  <c r="BA17" i="31"/>
  <c r="BA15" i="31"/>
  <c r="BA12" i="31"/>
  <c r="BA11" i="31"/>
  <c r="BA9" i="31"/>
  <c r="BA8" i="31"/>
  <c r="BA7" i="31"/>
  <c r="BA6" i="31"/>
  <c r="BA5" i="31"/>
  <c r="AC26" i="31"/>
  <c r="AC25" i="31"/>
  <c r="AC24" i="31"/>
  <c r="AC13" i="31"/>
  <c r="AC14" i="31" s="1"/>
  <c r="AC16" i="31" s="1"/>
  <c r="AC18" i="31" s="1"/>
  <c r="AC10" i="31"/>
  <c r="AE10" i="30"/>
  <c r="AE9" i="30"/>
  <c r="AE7" i="30"/>
  <c r="AE6" i="30"/>
  <c r="AE5" i="30"/>
  <c r="P17" i="30"/>
  <c r="P8" i="30"/>
  <c r="P11" i="30" s="1"/>
  <c r="AE10" i="29"/>
  <c r="AF9" i="29"/>
  <c r="AE9" i="29"/>
  <c r="AE7" i="29"/>
  <c r="AE6" i="29"/>
  <c r="AE5" i="29"/>
  <c r="P17" i="29"/>
  <c r="Q8" i="29"/>
  <c r="P8" i="29"/>
  <c r="P11" i="29" s="1"/>
  <c r="AE10" i="28"/>
  <c r="AE9" i="28"/>
  <c r="AE7" i="28"/>
  <c r="AE6" i="28"/>
  <c r="AE5" i="28"/>
  <c r="P17" i="28"/>
  <c r="P8" i="28"/>
  <c r="P11" i="28" s="1"/>
  <c r="AF10" i="14"/>
  <c r="AE10" i="14"/>
  <c r="AE9" i="14"/>
  <c r="AE7" i="14"/>
  <c r="AE6" i="14"/>
  <c r="AE5" i="14"/>
  <c r="P17" i="14"/>
  <c r="P8" i="14"/>
  <c r="P19" i="14" s="1"/>
  <c r="P37" i="13"/>
  <c r="P28" i="13"/>
  <c r="P19" i="13"/>
  <c r="P10" i="13"/>
  <c r="AD20" i="25"/>
  <c r="AD18" i="25"/>
  <c r="AD16" i="25"/>
  <c r="AD14" i="25"/>
  <c r="AD13" i="25"/>
  <c r="AD11" i="25"/>
  <c r="AE10" i="25"/>
  <c r="AD10" i="25"/>
  <c r="AD8" i="25"/>
  <c r="AD27" i="25" s="1"/>
  <c r="AD7" i="25"/>
  <c r="AD6" i="25"/>
  <c r="AD5" i="25"/>
  <c r="P27" i="25"/>
  <c r="AE20" i="25"/>
  <c r="AE18" i="25"/>
  <c r="AE16" i="25"/>
  <c r="P15" i="25"/>
  <c r="AE14" i="25"/>
  <c r="AE13" i="25"/>
  <c r="P9" i="25"/>
  <c r="P12" i="25" s="1"/>
  <c r="AE8" i="25"/>
  <c r="AE7" i="25"/>
  <c r="AE6" i="25"/>
  <c r="AE5" i="25"/>
  <c r="R8" i="29" l="1"/>
  <c r="R11" i="29"/>
  <c r="R17" i="28"/>
  <c r="BC24" i="31"/>
  <c r="R19" i="13"/>
  <c r="I14" i="26"/>
  <c r="R17" i="14"/>
  <c r="I27" i="26"/>
  <c r="S6" i="14"/>
  <c r="S7" i="14"/>
  <c r="AG7" i="28"/>
  <c r="AG17" i="28" s="1"/>
  <c r="S9" i="28"/>
  <c r="AG8" i="28"/>
  <c r="AG18" i="28" s="1"/>
  <c r="S5" i="28"/>
  <c r="R11" i="28"/>
  <c r="AG10" i="28"/>
  <c r="S9" i="29"/>
  <c r="R27" i="25"/>
  <c r="R9" i="25"/>
  <c r="AF9" i="25" s="1"/>
  <c r="AF28" i="25" s="1"/>
  <c r="AG5" i="14"/>
  <c r="AG5" i="30"/>
  <c r="AG6" i="30"/>
  <c r="R15" i="25"/>
  <c r="AF15" i="25" s="1"/>
  <c r="R37" i="13"/>
  <c r="R28" i="13"/>
  <c r="R8" i="14"/>
  <c r="R19" i="14" s="1"/>
  <c r="AG7" i="14"/>
  <c r="AG7" i="30"/>
  <c r="R8" i="30"/>
  <c r="R19" i="30" s="1"/>
  <c r="BB16" i="35"/>
  <c r="R17" i="30"/>
  <c r="BC26" i="31"/>
  <c r="BC25" i="31"/>
  <c r="AG8" i="29"/>
  <c r="AF13" i="25"/>
  <c r="AG9" i="14"/>
  <c r="R17" i="29"/>
  <c r="AG5" i="29"/>
  <c r="AG10" i="14"/>
  <c r="S10" i="29"/>
  <c r="AG6" i="29"/>
  <c r="AF10" i="25"/>
  <c r="R19" i="28"/>
  <c r="AG7" i="29"/>
  <c r="AG9" i="29"/>
  <c r="R10" i="13"/>
  <c r="AF8" i="25"/>
  <c r="R12" i="41"/>
  <c r="BB18" i="33"/>
  <c r="BB18" i="36"/>
  <c r="BB17" i="35"/>
  <c r="BB10" i="34"/>
  <c r="BB18" i="35"/>
  <c r="BA26" i="31"/>
  <c r="BA25" i="31"/>
  <c r="BA24" i="31"/>
  <c r="AF6" i="30"/>
  <c r="AF10" i="30"/>
  <c r="R18" i="29"/>
  <c r="R19" i="29"/>
  <c r="S6" i="29"/>
  <c r="P19" i="29"/>
  <c r="Q19" i="29"/>
  <c r="R18" i="28"/>
  <c r="S6" i="28"/>
  <c r="AE17" i="28"/>
  <c r="Q17" i="14"/>
  <c r="P18" i="14"/>
  <c r="S6" i="13"/>
  <c r="S25" i="13"/>
  <c r="S24" i="13"/>
  <c r="S15" i="13"/>
  <c r="P28" i="25"/>
  <c r="P29" i="25"/>
  <c r="P17" i="25"/>
  <c r="I8" i="26"/>
  <c r="Q9" i="25"/>
  <c r="Q28" i="25" s="1"/>
  <c r="AF7" i="14"/>
  <c r="AF17" i="14" s="1"/>
  <c r="P19" i="28"/>
  <c r="AF10" i="29"/>
  <c r="Q8" i="14"/>
  <c r="Q11" i="14" s="1"/>
  <c r="I32" i="26"/>
  <c r="AF7" i="30"/>
  <c r="AF17" i="30" s="1"/>
  <c r="AF9" i="14"/>
  <c r="AF5" i="28"/>
  <c r="P19" i="30"/>
  <c r="AF9" i="30"/>
  <c r="L12" i="40"/>
  <c r="L25" i="40"/>
  <c r="L31" i="40" s="1"/>
  <c r="L6" i="40"/>
  <c r="AE27" i="25"/>
  <c r="AE9" i="25"/>
  <c r="AE28" i="25" s="1"/>
  <c r="Q17" i="28"/>
  <c r="AF8" i="29"/>
  <c r="BB16" i="34"/>
  <c r="G8" i="39"/>
  <c r="G13" i="39" s="1"/>
  <c r="AF6" i="14"/>
  <c r="P18" i="28"/>
  <c r="Q17" i="29"/>
  <c r="AD19" i="32"/>
  <c r="I34" i="26"/>
  <c r="I38" i="26" s="1"/>
  <c r="Q15" i="25"/>
  <c r="AE15" i="25" s="1"/>
  <c r="AE11" i="25"/>
  <c r="P11" i="14"/>
  <c r="AF9" i="28"/>
  <c r="P18" i="29"/>
  <c r="Q17" i="30"/>
  <c r="L34" i="40"/>
  <c r="BB11" i="36"/>
  <c r="Q18" i="29"/>
  <c r="P18" i="30"/>
  <c r="BB17" i="34"/>
  <c r="M53" i="19"/>
  <c r="AF10" i="28"/>
  <c r="BB17" i="36"/>
  <c r="BB18" i="34"/>
  <c r="M6" i="19"/>
  <c r="M5" i="19" s="1"/>
  <c r="M22" i="19" s="1"/>
  <c r="M24" i="19" s="1"/>
  <c r="AF5" i="29"/>
  <c r="BB10" i="33"/>
  <c r="Q27" i="25"/>
  <c r="Q8" i="28"/>
  <c r="Q19" i="28" s="1"/>
  <c r="AF6" i="28"/>
  <c r="AF5" i="30"/>
  <c r="G15" i="39"/>
  <c r="G23" i="39" s="1"/>
  <c r="AF6" i="29"/>
  <c r="BB10" i="35"/>
  <c r="M36" i="19"/>
  <c r="AE17" i="14"/>
  <c r="AF7" i="28"/>
  <c r="Q8" i="30"/>
  <c r="Q11" i="30" s="1"/>
  <c r="AF5" i="14"/>
  <c r="AF7" i="29"/>
  <c r="AE17" i="30"/>
  <c r="BB17" i="33"/>
  <c r="L26" i="23"/>
  <c r="L25" i="23"/>
  <c r="BB19" i="36"/>
  <c r="BB16" i="33"/>
  <c r="AE17" i="29"/>
  <c r="Q11" i="29"/>
  <c r="Q37" i="13"/>
  <c r="Q28" i="13"/>
  <c r="Q19" i="13"/>
  <c r="Q10" i="13"/>
  <c r="I19" i="26" l="1"/>
  <c r="AG11" i="28"/>
  <c r="R11" i="14"/>
  <c r="AG17" i="30"/>
  <c r="AG19" i="28"/>
  <c r="S8" i="30"/>
  <c r="AG8" i="30"/>
  <c r="AG18" i="30" s="1"/>
  <c r="AG11" i="29"/>
  <c r="R28" i="25"/>
  <c r="R29" i="25"/>
  <c r="R12" i="25"/>
  <c r="R17" i="25" s="1"/>
  <c r="R18" i="30"/>
  <c r="R11" i="30"/>
  <c r="R18" i="14"/>
  <c r="AG8" i="14"/>
  <c r="AG17" i="14"/>
  <c r="AG17" i="29"/>
  <c r="AF27" i="25"/>
  <c r="AF29" i="25"/>
  <c r="AG18" i="29"/>
  <c r="AF12" i="25"/>
  <c r="AG19" i="29"/>
  <c r="L17" i="40"/>
  <c r="AF19" i="29"/>
  <c r="AF17" i="28"/>
  <c r="Q18" i="14"/>
  <c r="AF8" i="14"/>
  <c r="AF18" i="14" s="1"/>
  <c r="Q19" i="14"/>
  <c r="P19" i="25"/>
  <c r="Q12" i="25"/>
  <c r="Q17" i="25" s="1"/>
  <c r="Q29" i="25"/>
  <c r="AF17" i="29"/>
  <c r="AF18" i="29"/>
  <c r="I39" i="26"/>
  <c r="L35" i="40"/>
  <c r="AF11" i="29"/>
  <c r="G25" i="39"/>
  <c r="AE29" i="25"/>
  <c r="Q19" i="30"/>
  <c r="Q18" i="30"/>
  <c r="AF8" i="30"/>
  <c r="Q18" i="28"/>
  <c r="AF8" i="28"/>
  <c r="AF18" i="28" s="1"/>
  <c r="Q11" i="28"/>
  <c r="AD5" i="29"/>
  <c r="AD6" i="29"/>
  <c r="AD7" i="29"/>
  <c r="AD9" i="29"/>
  <c r="AD10" i="29"/>
  <c r="N46" i="19"/>
  <c r="N35" i="19"/>
  <c r="N12" i="41"/>
  <c r="AZ10" i="36"/>
  <c r="AZ9" i="36"/>
  <c r="AZ8" i="36"/>
  <c r="AZ7" i="36"/>
  <c r="AZ6" i="36"/>
  <c r="AZ5" i="36"/>
  <c r="AA19" i="36"/>
  <c r="AF19" i="36" s="1"/>
  <c r="AA18" i="36"/>
  <c r="AF18" i="36" s="1"/>
  <c r="AA17" i="36"/>
  <c r="AF17" i="36" s="1"/>
  <c r="AA11" i="36"/>
  <c r="AF11" i="36" s="1"/>
  <c r="BA10" i="36"/>
  <c r="AZ9" i="35"/>
  <c r="AZ8" i="35"/>
  <c r="AZ7" i="35"/>
  <c r="AZ6" i="35"/>
  <c r="AZ5" i="35"/>
  <c r="AA18" i="35"/>
  <c r="AF18" i="35" s="1"/>
  <c r="AA17" i="35"/>
  <c r="AF17" i="35" s="1"/>
  <c r="AA16" i="35"/>
  <c r="AF16" i="35" s="1"/>
  <c r="AA10" i="35"/>
  <c r="AF10" i="35" s="1"/>
  <c r="AZ9" i="34"/>
  <c r="AZ8" i="34"/>
  <c r="AZ7" i="34"/>
  <c r="BA6" i="34"/>
  <c r="AZ6" i="34"/>
  <c r="AZ5" i="34"/>
  <c r="AA18" i="34"/>
  <c r="AF18" i="34" s="1"/>
  <c r="AA17" i="34"/>
  <c r="AF17" i="34" s="1"/>
  <c r="AA16" i="34"/>
  <c r="AF16" i="34" s="1"/>
  <c r="AA10" i="34"/>
  <c r="AF10" i="34" s="1"/>
  <c r="BA9" i="34"/>
  <c r="AZ9" i="33"/>
  <c r="AZ8" i="33"/>
  <c r="AZ7" i="33"/>
  <c r="AZ6" i="33"/>
  <c r="AZ5" i="33"/>
  <c r="AA18" i="33"/>
  <c r="AF18" i="33" s="1"/>
  <c r="AA17" i="33"/>
  <c r="AF17" i="33" s="1"/>
  <c r="AA16" i="33"/>
  <c r="AF16" i="33" s="1"/>
  <c r="Z16" i="33"/>
  <c r="Z17" i="33"/>
  <c r="Z18" i="33"/>
  <c r="AA10" i="33"/>
  <c r="AF10" i="33" s="1"/>
  <c r="BA7" i="33"/>
  <c r="BA6" i="33"/>
  <c r="AA28" i="32"/>
  <c r="AF28" i="32" s="1"/>
  <c r="AA19" i="32"/>
  <c r="AF19" i="32" s="1"/>
  <c r="AA10" i="32"/>
  <c r="AF10" i="32" s="1"/>
  <c r="AB10" i="32"/>
  <c r="AA26" i="31"/>
  <c r="AA25" i="31"/>
  <c r="AA24" i="31"/>
  <c r="AZ17" i="31"/>
  <c r="AZ15" i="31"/>
  <c r="AA13" i="31"/>
  <c r="AY13" i="31" s="1"/>
  <c r="AZ12" i="31"/>
  <c r="AB13" i="31"/>
  <c r="BA13" i="31" s="1"/>
  <c r="AA10" i="31"/>
  <c r="AY10" i="31" s="1"/>
  <c r="AZ9" i="31"/>
  <c r="AZ8" i="31"/>
  <c r="AZ7" i="31"/>
  <c r="AZ5" i="31"/>
  <c r="AY17" i="31"/>
  <c r="AY15" i="31"/>
  <c r="AY12" i="31"/>
  <c r="AY11" i="31"/>
  <c r="AY9" i="31"/>
  <c r="AY8" i="31"/>
  <c r="AY7" i="31"/>
  <c r="AY6" i="31"/>
  <c r="AY5" i="31"/>
  <c r="N17" i="30"/>
  <c r="S17" i="30" s="1"/>
  <c r="AD10" i="30"/>
  <c r="O8" i="30"/>
  <c r="AE8" i="30" s="1"/>
  <c r="AE18" i="30" s="1"/>
  <c r="N8" i="30"/>
  <c r="N19" i="30" s="1"/>
  <c r="S19" i="30" s="1"/>
  <c r="AC10" i="30"/>
  <c r="AC9" i="30"/>
  <c r="AC7" i="30"/>
  <c r="AC6" i="30"/>
  <c r="AC5" i="30"/>
  <c r="AC10" i="29"/>
  <c r="AC9" i="29"/>
  <c r="AC7" i="29"/>
  <c r="AC6" i="29"/>
  <c r="AC5" i="29"/>
  <c r="N17" i="29"/>
  <c r="S17" i="29" s="1"/>
  <c r="N8" i="29"/>
  <c r="AC10" i="28"/>
  <c r="AC9" i="28"/>
  <c r="AC7" i="28"/>
  <c r="AC6" i="28"/>
  <c r="AC5" i="28"/>
  <c r="N17" i="28"/>
  <c r="S17" i="28" s="1"/>
  <c r="N8" i="28"/>
  <c r="N11" i="28"/>
  <c r="S11" i="28" s="1"/>
  <c r="AC10" i="14"/>
  <c r="AC9" i="14"/>
  <c r="AC7" i="14"/>
  <c r="AC6" i="14"/>
  <c r="AC5" i="14"/>
  <c r="N17" i="14"/>
  <c r="S17" i="14" s="1"/>
  <c r="N8" i="14"/>
  <c r="AC8" i="14" s="1"/>
  <c r="N11" i="14"/>
  <c r="AD7" i="14"/>
  <c r="N37" i="13"/>
  <c r="S37" i="13" s="1"/>
  <c r="N28" i="13"/>
  <c r="S28" i="13" s="1"/>
  <c r="N19" i="13"/>
  <c r="S19" i="13" s="1"/>
  <c r="N10" i="13"/>
  <c r="S10" i="13" s="1"/>
  <c r="AB20" i="25"/>
  <c r="AB18" i="25"/>
  <c r="AB16" i="25"/>
  <c r="AB14" i="25"/>
  <c r="AB13" i="25"/>
  <c r="AB11" i="25"/>
  <c r="AB10" i="25"/>
  <c r="AB8" i="25"/>
  <c r="AB7" i="25"/>
  <c r="AB6" i="25"/>
  <c r="N27" i="25"/>
  <c r="AC20" i="25"/>
  <c r="AC18" i="25"/>
  <c r="AC16" i="25"/>
  <c r="N15" i="25"/>
  <c r="AB15" i="25" s="1"/>
  <c r="AC14" i="25"/>
  <c r="O15" i="25"/>
  <c r="AC11" i="25"/>
  <c r="AC10" i="25"/>
  <c r="N9" i="25"/>
  <c r="N29" i="25" s="1"/>
  <c r="N12" i="25"/>
  <c r="AB12" i="25" s="1"/>
  <c r="AC7" i="25"/>
  <c r="AC6" i="25"/>
  <c r="AC5" i="25"/>
  <c r="O10" i="13"/>
  <c r="O9" i="25"/>
  <c r="BA8" i="34"/>
  <c r="BA8" i="35"/>
  <c r="AD6" i="14"/>
  <c r="AD5" i="28"/>
  <c r="AC13" i="25"/>
  <c r="AD6" i="28"/>
  <c r="O17" i="30"/>
  <c r="O19" i="13"/>
  <c r="BA5" i="36"/>
  <c r="AD9" i="30"/>
  <c r="AB25" i="31"/>
  <c r="O27" i="25"/>
  <c r="AC8" i="25"/>
  <c r="AD7" i="28"/>
  <c r="AD17" i="28" s="1"/>
  <c r="BA7" i="34"/>
  <c r="O37" i="13"/>
  <c r="BA6" i="36"/>
  <c r="BA7" i="35"/>
  <c r="AD9" i="14"/>
  <c r="O17" i="29"/>
  <c r="AD9" i="28"/>
  <c r="AD10" i="14"/>
  <c r="O8" i="29"/>
  <c r="AD10" i="28"/>
  <c r="AD5" i="14"/>
  <c r="BA5" i="33"/>
  <c r="AD6" i="30"/>
  <c r="AZ17" i="35"/>
  <c r="AB16" i="34"/>
  <c r="AB17" i="33"/>
  <c r="AZ6" i="31"/>
  <c r="AD7" i="30"/>
  <c r="O17" i="28"/>
  <c r="O8" i="28"/>
  <c r="O17" i="14"/>
  <c r="O8" i="14"/>
  <c r="N18" i="14"/>
  <c r="O28" i="13"/>
  <c r="O19" i="29"/>
  <c r="O11" i="28"/>
  <c r="O18" i="28"/>
  <c r="K26" i="23"/>
  <c r="K25" i="23"/>
  <c r="K20" i="23"/>
  <c r="K9" i="23"/>
  <c r="K53" i="19"/>
  <c r="K36" i="19"/>
  <c r="K13" i="19"/>
  <c r="K6" i="19"/>
  <c r="M12" i="41"/>
  <c r="AY10" i="36"/>
  <c r="AY9" i="36"/>
  <c r="AY8" i="36"/>
  <c r="AY7" i="36"/>
  <c r="AY6" i="36"/>
  <c r="AY5" i="36"/>
  <c r="Z19" i="36"/>
  <c r="Z18" i="36"/>
  <c r="Z17" i="36"/>
  <c r="Z11" i="36"/>
  <c r="AY9" i="35"/>
  <c r="AY8" i="35"/>
  <c r="AY7" i="35"/>
  <c r="AY6" i="35"/>
  <c r="AY5" i="35"/>
  <c r="Z18" i="35"/>
  <c r="Z17" i="35"/>
  <c r="Z16" i="35"/>
  <c r="Z10" i="35"/>
  <c r="AY9" i="34"/>
  <c r="AY8" i="34"/>
  <c r="AY7" i="34"/>
  <c r="AY16" i="34" s="1"/>
  <c r="AY6" i="34"/>
  <c r="AY5" i="34"/>
  <c r="Z18" i="34"/>
  <c r="Z17" i="34"/>
  <c r="Z16" i="34"/>
  <c r="Z10" i="34"/>
  <c r="AY9" i="33"/>
  <c r="AY8" i="33"/>
  <c r="AY7" i="33"/>
  <c r="AY6" i="33"/>
  <c r="AY5" i="33"/>
  <c r="W16" i="33"/>
  <c r="X16" i="33"/>
  <c r="Y16" i="33"/>
  <c r="W17" i="33"/>
  <c r="X17" i="33"/>
  <c r="Y17" i="33"/>
  <c r="W18" i="33"/>
  <c r="X18" i="33"/>
  <c r="Y18" i="33"/>
  <c r="Z10" i="33"/>
  <c r="Z28" i="32"/>
  <c r="Z19" i="32"/>
  <c r="Z10" i="32"/>
  <c r="AX17" i="31"/>
  <c r="AX15" i="31"/>
  <c r="AX12" i="31"/>
  <c r="AX11" i="31"/>
  <c r="AX9" i="31"/>
  <c r="AX8" i="31"/>
  <c r="AX7" i="31"/>
  <c r="AX6" i="31"/>
  <c r="AX5" i="31"/>
  <c r="Z26" i="31"/>
  <c r="Z25" i="31"/>
  <c r="Z24" i="31"/>
  <c r="Z13" i="31"/>
  <c r="Z10" i="31"/>
  <c r="K34" i="40"/>
  <c r="K35" i="40"/>
  <c r="K31" i="40"/>
  <c r="K25" i="40"/>
  <c r="K12" i="40"/>
  <c r="K6" i="40"/>
  <c r="K17" i="40" s="1"/>
  <c r="AB10" i="30"/>
  <c r="AB9" i="30"/>
  <c r="AB7" i="30"/>
  <c r="AB6" i="30"/>
  <c r="AB5" i="30"/>
  <c r="M17" i="30"/>
  <c r="M8" i="30"/>
  <c r="M18" i="30" s="1"/>
  <c r="M17" i="29"/>
  <c r="M8" i="29"/>
  <c r="AB10" i="29"/>
  <c r="AB9" i="29"/>
  <c r="AB7" i="29"/>
  <c r="AB6" i="29"/>
  <c r="AB5" i="29"/>
  <c r="AB10" i="28"/>
  <c r="AB9" i="28"/>
  <c r="AB7" i="28"/>
  <c r="AB6" i="28"/>
  <c r="AB5" i="28"/>
  <c r="M17" i="28"/>
  <c r="M8" i="28"/>
  <c r="M18" i="28" s="1"/>
  <c r="AB10" i="14"/>
  <c r="AB9" i="14"/>
  <c r="AB7" i="14"/>
  <c r="AB17" i="14" s="1"/>
  <c r="AB6" i="14"/>
  <c r="AB5" i="14"/>
  <c r="M17" i="14"/>
  <c r="M8" i="14"/>
  <c r="M11" i="14" s="1"/>
  <c r="M37" i="13"/>
  <c r="M28" i="13"/>
  <c r="M19" i="13"/>
  <c r="M10" i="13"/>
  <c r="AA20" i="25"/>
  <c r="AA18" i="25"/>
  <c r="AA16" i="25"/>
  <c r="AA14" i="25"/>
  <c r="AA13" i="25"/>
  <c r="AA11" i="25"/>
  <c r="AA10" i="25"/>
  <c r="AA8" i="25"/>
  <c r="AA7" i="25"/>
  <c r="AA27" i="25" s="1"/>
  <c r="AA6" i="25"/>
  <c r="AA5" i="25"/>
  <c r="M27" i="25"/>
  <c r="M15" i="25"/>
  <c r="M9" i="25"/>
  <c r="M12" i="25"/>
  <c r="G34" i="26"/>
  <c r="G38" i="26" s="1"/>
  <c r="G39" i="26" s="1"/>
  <c r="G27" i="26"/>
  <c r="G32" i="26" s="1"/>
  <c r="G14" i="26"/>
  <c r="G8" i="26"/>
  <c r="G6" i="26"/>
  <c r="G19" i="26" s="1"/>
  <c r="L27" i="25"/>
  <c r="L15" i="25"/>
  <c r="L9" i="25"/>
  <c r="L28" i="25" s="1"/>
  <c r="L37" i="13"/>
  <c r="L28" i="13"/>
  <c r="L19" i="13"/>
  <c r="L10" i="13"/>
  <c r="L17" i="14"/>
  <c r="L8" i="14"/>
  <c r="L11" i="14" s="1"/>
  <c r="L17" i="28"/>
  <c r="L8" i="28"/>
  <c r="AB8" i="28" s="1"/>
  <c r="AB18" i="28" s="1"/>
  <c r="L17" i="29"/>
  <c r="L8" i="29"/>
  <c r="L11" i="29" s="1"/>
  <c r="L17" i="30"/>
  <c r="L8" i="30"/>
  <c r="L11" i="30" s="1"/>
  <c r="Y13" i="31"/>
  <c r="AX13" i="31" s="1"/>
  <c r="Y10" i="31"/>
  <c r="Y28" i="32"/>
  <c r="Y19" i="32"/>
  <c r="Y10" i="32"/>
  <c r="Y10" i="33"/>
  <c r="AY10" i="33" s="1"/>
  <c r="Y18" i="34"/>
  <c r="Y17" i="34"/>
  <c r="Y16" i="34"/>
  <c r="Y10" i="34"/>
  <c r="Y18" i="35"/>
  <c r="Y17" i="35"/>
  <c r="Y16" i="35"/>
  <c r="Y10" i="35"/>
  <c r="Y19" i="36"/>
  <c r="Y18" i="36"/>
  <c r="Y17" i="36"/>
  <c r="Y11" i="36"/>
  <c r="AY11" i="36" s="1"/>
  <c r="L12" i="41"/>
  <c r="L18" i="30"/>
  <c r="L19" i="30"/>
  <c r="M28" i="25"/>
  <c r="M29" i="25"/>
  <c r="G12" i="41"/>
  <c r="K12" i="41"/>
  <c r="J12" i="41"/>
  <c r="I12" i="41"/>
  <c r="H12" i="41"/>
  <c r="F12" i="41"/>
  <c r="E12" i="41"/>
  <c r="AW10" i="36"/>
  <c r="AW9" i="36"/>
  <c r="AW8" i="36"/>
  <c r="AW7" i="36"/>
  <c r="AW6" i="36"/>
  <c r="AW5" i="36"/>
  <c r="X19" i="36"/>
  <c r="X18" i="36"/>
  <c r="X17" i="36"/>
  <c r="X11" i="36"/>
  <c r="AX10" i="36"/>
  <c r="AW9" i="35"/>
  <c r="AW8" i="35"/>
  <c r="AW7" i="35"/>
  <c r="AW6" i="35"/>
  <c r="AW5" i="35"/>
  <c r="X18" i="35"/>
  <c r="X17" i="35"/>
  <c r="X16" i="35"/>
  <c r="X10" i="35"/>
  <c r="AX9" i="35"/>
  <c r="AW9" i="34"/>
  <c r="AW8" i="34"/>
  <c r="AW7" i="34"/>
  <c r="AW6" i="34"/>
  <c r="AW5" i="34"/>
  <c r="X18" i="34"/>
  <c r="X17" i="34"/>
  <c r="X16" i="34"/>
  <c r="X10" i="34"/>
  <c r="AX9" i="34"/>
  <c r="AW9" i="33"/>
  <c r="AW8" i="33"/>
  <c r="AW7" i="33"/>
  <c r="AW6" i="33"/>
  <c r="AW5" i="33"/>
  <c r="X10" i="33"/>
  <c r="AX6" i="33"/>
  <c r="X28" i="32"/>
  <c r="X19" i="32"/>
  <c r="X10" i="32"/>
  <c r="AV17" i="31"/>
  <c r="AV15" i="31"/>
  <c r="AV12" i="31"/>
  <c r="AV11" i="31"/>
  <c r="AV9" i="31"/>
  <c r="AV8" i="31"/>
  <c r="AV7" i="31"/>
  <c r="AV6" i="31"/>
  <c r="AV5" i="31"/>
  <c r="X26" i="31"/>
  <c r="X25" i="31"/>
  <c r="X24" i="31"/>
  <c r="AW17" i="31"/>
  <c r="AW15" i="31"/>
  <c r="X13" i="31"/>
  <c r="AW12" i="31"/>
  <c r="X10" i="31"/>
  <c r="AW9" i="31"/>
  <c r="AW7" i="31"/>
  <c r="AW5" i="31"/>
  <c r="Z10" i="30"/>
  <c r="Z9" i="30"/>
  <c r="Z7" i="30"/>
  <c r="Z6" i="30"/>
  <c r="Z5" i="30"/>
  <c r="K17" i="30"/>
  <c r="AA10" i="30"/>
  <c r="K8" i="30"/>
  <c r="K11" i="30" s="1"/>
  <c r="Z10" i="29"/>
  <c r="Z9" i="29"/>
  <c r="Z7" i="29"/>
  <c r="Z6" i="29"/>
  <c r="Z5" i="29"/>
  <c r="K17" i="29"/>
  <c r="K8" i="29"/>
  <c r="K11" i="29" s="1"/>
  <c r="AA5" i="29"/>
  <c r="Z10" i="28"/>
  <c r="Z9" i="28"/>
  <c r="Z7" i="28"/>
  <c r="Z6" i="28"/>
  <c r="Z5" i="28"/>
  <c r="K17" i="28"/>
  <c r="K8" i="28"/>
  <c r="K18" i="28" s="1"/>
  <c r="Z10" i="14"/>
  <c r="Z9" i="14"/>
  <c r="Z7" i="14"/>
  <c r="Z6" i="14"/>
  <c r="Z5" i="14"/>
  <c r="K17" i="14"/>
  <c r="K8" i="14"/>
  <c r="K19" i="14" s="1"/>
  <c r="AA6" i="14"/>
  <c r="K37" i="13"/>
  <c r="K28" i="13"/>
  <c r="K19" i="13"/>
  <c r="K10" i="13"/>
  <c r="Y20" i="25"/>
  <c r="Y18" i="25"/>
  <c r="Y16" i="25"/>
  <c r="Y14" i="25"/>
  <c r="Y13" i="25"/>
  <c r="Y11" i="25"/>
  <c r="Y10" i="25"/>
  <c r="Y8" i="25"/>
  <c r="Y7" i="25"/>
  <c r="Y6" i="25"/>
  <c r="Y5" i="25"/>
  <c r="K27" i="25"/>
  <c r="Z20" i="25"/>
  <c r="Z18" i="25"/>
  <c r="Z16" i="25"/>
  <c r="K15" i="25"/>
  <c r="Z13" i="25"/>
  <c r="Z11" i="25"/>
  <c r="K9" i="25"/>
  <c r="K28" i="25" s="1"/>
  <c r="Z6" i="25"/>
  <c r="Z5" i="25"/>
  <c r="X14" i="31"/>
  <c r="X16" i="31" s="1"/>
  <c r="X18" i="31" s="1"/>
  <c r="K11" i="28"/>
  <c r="Y27" i="25"/>
  <c r="AX5" i="34"/>
  <c r="K18" i="29"/>
  <c r="K19" i="29"/>
  <c r="AX5" i="33"/>
  <c r="AA9" i="30"/>
  <c r="Y24" i="31"/>
  <c r="AA6" i="28"/>
  <c r="AX5" i="35"/>
  <c r="Y26" i="31"/>
  <c r="AX6" i="35"/>
  <c r="AX6" i="34"/>
  <c r="AX7" i="35"/>
  <c r="AX9" i="36"/>
  <c r="AA9" i="14"/>
  <c r="AW8" i="31"/>
  <c r="AA10" i="14"/>
  <c r="AX5" i="36"/>
  <c r="AX9" i="33"/>
  <c r="Z8" i="25"/>
  <c r="Z14" i="25"/>
  <c r="AA7" i="14"/>
  <c r="AA10" i="28"/>
  <c r="AA5" i="28"/>
  <c r="AA9" i="29"/>
  <c r="AA5" i="30"/>
  <c r="Z10" i="25"/>
  <c r="AA10" i="29"/>
  <c r="AA6" i="30"/>
  <c r="AA7" i="28"/>
  <c r="AA7" i="30"/>
  <c r="AA17" i="30" s="1"/>
  <c r="AA5" i="14"/>
  <c r="AA6" i="29"/>
  <c r="Z7" i="25"/>
  <c r="AA9" i="28"/>
  <c r="AA7" i="29"/>
  <c r="AW10" i="31"/>
  <c r="Y25" i="31"/>
  <c r="AW11" i="31"/>
  <c r="AX8" i="35"/>
  <c r="AX6" i="36"/>
  <c r="AX7" i="34"/>
  <c r="AW6" i="31"/>
  <c r="AX7" i="33"/>
  <c r="AX7" i="36"/>
  <c r="AX8" i="34"/>
  <c r="AX8" i="33"/>
  <c r="AX8" i="36"/>
  <c r="W11" i="36"/>
  <c r="W10" i="35"/>
  <c r="AW10" i="35" s="1"/>
  <c r="W10" i="34"/>
  <c r="AW10" i="34" s="1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W10" i="31"/>
  <c r="Y10" i="30"/>
  <c r="X10" i="30"/>
  <c r="W10" i="30"/>
  <c r="V10" i="30"/>
  <c r="U10" i="30"/>
  <c r="Y9" i="30"/>
  <c r="X9" i="30"/>
  <c r="W9" i="30"/>
  <c r="V9" i="30"/>
  <c r="U9" i="30"/>
  <c r="J8" i="30"/>
  <c r="Y8" i="30" s="1"/>
  <c r="Y19" i="30" s="1"/>
  <c r="I8" i="30"/>
  <c r="I11" i="30" s="1"/>
  <c r="H8" i="30"/>
  <c r="W8" i="30" s="1"/>
  <c r="G8" i="30"/>
  <c r="G18" i="30" s="1"/>
  <c r="G11" i="30"/>
  <c r="F8" i="30"/>
  <c r="F11" i="30" s="1"/>
  <c r="E8" i="30"/>
  <c r="E11" i="30"/>
  <c r="Y7" i="30"/>
  <c r="X7" i="30"/>
  <c r="W7" i="30"/>
  <c r="V7" i="30"/>
  <c r="U7" i="30"/>
  <c r="Y6" i="30"/>
  <c r="X6" i="30"/>
  <c r="X17" i="30" s="1"/>
  <c r="W6" i="30"/>
  <c r="V6" i="30"/>
  <c r="U6" i="30"/>
  <c r="Y5" i="30"/>
  <c r="X5" i="30"/>
  <c r="W5" i="30"/>
  <c r="V5" i="30"/>
  <c r="U5" i="30"/>
  <c r="Y10" i="29"/>
  <c r="X10" i="29"/>
  <c r="W10" i="29"/>
  <c r="V10" i="29"/>
  <c r="U10" i="29"/>
  <c r="Y9" i="29"/>
  <c r="X9" i="29"/>
  <c r="W9" i="29"/>
  <c r="V9" i="29"/>
  <c r="U9" i="29"/>
  <c r="Y7" i="29"/>
  <c r="X7" i="29"/>
  <c r="W7" i="29"/>
  <c r="V7" i="29"/>
  <c r="U7" i="29"/>
  <c r="Y6" i="29"/>
  <c r="X6" i="29"/>
  <c r="W6" i="29"/>
  <c r="V6" i="29"/>
  <c r="U6" i="29"/>
  <c r="Y5" i="29"/>
  <c r="X5" i="29"/>
  <c r="W5" i="29"/>
  <c r="V5" i="29"/>
  <c r="U5" i="29"/>
  <c r="J8" i="29"/>
  <c r="J18" i="29" s="1"/>
  <c r="I8" i="29"/>
  <c r="I11" i="29" s="1"/>
  <c r="H8" i="29"/>
  <c r="H19" i="29" s="1"/>
  <c r="G8" i="29"/>
  <c r="G11" i="29" s="1"/>
  <c r="F8" i="29"/>
  <c r="F11" i="29" s="1"/>
  <c r="E8" i="29"/>
  <c r="E19" i="29" s="1"/>
  <c r="Y10" i="28"/>
  <c r="X10" i="28"/>
  <c r="W10" i="28"/>
  <c r="V10" i="28"/>
  <c r="U10" i="28"/>
  <c r="Y9" i="28"/>
  <c r="X9" i="28"/>
  <c r="W9" i="28"/>
  <c r="V9" i="28"/>
  <c r="U9" i="28"/>
  <c r="Y7" i="28"/>
  <c r="X7" i="28"/>
  <c r="W7" i="28"/>
  <c r="V7" i="28"/>
  <c r="U7" i="28"/>
  <c r="Y6" i="28"/>
  <c r="X6" i="28"/>
  <c r="W6" i="28"/>
  <c r="V6" i="28"/>
  <c r="U6" i="28"/>
  <c r="Y5" i="28"/>
  <c r="X5" i="28"/>
  <c r="W5" i="28"/>
  <c r="V5" i="28"/>
  <c r="U5" i="28"/>
  <c r="J8" i="28"/>
  <c r="J11" i="28" s="1"/>
  <c r="I8" i="28"/>
  <c r="H8" i="28"/>
  <c r="H18" i="28" s="1"/>
  <c r="G8" i="28"/>
  <c r="G11" i="28"/>
  <c r="F8" i="28"/>
  <c r="F11" i="28" s="1"/>
  <c r="E8" i="28"/>
  <c r="E11" i="28" s="1"/>
  <c r="Y10" i="14"/>
  <c r="X10" i="14"/>
  <c r="W10" i="14"/>
  <c r="V10" i="14"/>
  <c r="U10" i="14"/>
  <c r="Y9" i="14"/>
  <c r="X9" i="14"/>
  <c r="W9" i="14"/>
  <c r="V9" i="14"/>
  <c r="U9" i="14"/>
  <c r="Y7" i="14"/>
  <c r="X7" i="14"/>
  <c r="W7" i="14"/>
  <c r="V7" i="14"/>
  <c r="U7" i="14"/>
  <c r="Y6" i="14"/>
  <c r="X6" i="14"/>
  <c r="W6" i="14"/>
  <c r="V6" i="14"/>
  <c r="U6" i="14"/>
  <c r="Y5" i="14"/>
  <c r="X5" i="14"/>
  <c r="W5" i="14"/>
  <c r="V5" i="14"/>
  <c r="U5" i="14"/>
  <c r="J8" i="14"/>
  <c r="Y8" i="14" s="1"/>
  <c r="I8" i="14"/>
  <c r="I11" i="14" s="1"/>
  <c r="H8" i="14"/>
  <c r="H11" i="14"/>
  <c r="G8" i="14"/>
  <c r="G19" i="14" s="1"/>
  <c r="F8" i="14"/>
  <c r="F11" i="14" s="1"/>
  <c r="E8" i="14"/>
  <c r="E19" i="14" s="1"/>
  <c r="E11" i="14"/>
  <c r="J28" i="13"/>
  <c r="I28" i="13"/>
  <c r="H28" i="13"/>
  <c r="G28" i="13"/>
  <c r="F28" i="13"/>
  <c r="E28" i="13"/>
  <c r="J37" i="13"/>
  <c r="J19" i="13"/>
  <c r="J10" i="13"/>
  <c r="I9" i="25"/>
  <c r="I12" i="25" s="1"/>
  <c r="H9" i="25"/>
  <c r="G9" i="25"/>
  <c r="G28" i="25" s="1"/>
  <c r="F9" i="25"/>
  <c r="F28" i="25" s="1"/>
  <c r="E9" i="25"/>
  <c r="J9" i="25"/>
  <c r="T10" i="25"/>
  <c r="U10" i="25"/>
  <c r="X11" i="25"/>
  <c r="W11" i="25"/>
  <c r="V11" i="25"/>
  <c r="U11" i="25"/>
  <c r="T11" i="25"/>
  <c r="X10" i="25"/>
  <c r="W10" i="25"/>
  <c r="V10" i="25"/>
  <c r="J15" i="25"/>
  <c r="Y15" i="25" s="1"/>
  <c r="I11" i="28"/>
  <c r="J12" i="25"/>
  <c r="J17" i="25" s="1"/>
  <c r="J19" i="25" s="1"/>
  <c r="AA17" i="14"/>
  <c r="J11" i="30"/>
  <c r="U8" i="29"/>
  <c r="U8" i="28"/>
  <c r="U11" i="28" s="1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35" i="40" s="1"/>
  <c r="J25" i="40"/>
  <c r="J31" i="40"/>
  <c r="J12" i="40"/>
  <c r="J6" i="40"/>
  <c r="J17" i="40" s="1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V15" i="25" s="1"/>
  <c r="F15" i="25"/>
  <c r="T15" i="25" s="1"/>
  <c r="E15" i="25"/>
  <c r="E17" i="25" s="1"/>
  <c r="E19" i="25" s="1"/>
  <c r="E21" i="25" s="1"/>
  <c r="H12" i="25"/>
  <c r="E12" i="25"/>
  <c r="F34" i="26"/>
  <c r="F38" i="26" s="1"/>
  <c r="E34" i="26"/>
  <c r="E38" i="26" s="1"/>
  <c r="E39" i="26" s="1"/>
  <c r="F27" i="26"/>
  <c r="F32" i="26" s="1"/>
  <c r="E27" i="26"/>
  <c r="E32" i="26" s="1"/>
  <c r="F14" i="26"/>
  <c r="E14" i="26"/>
  <c r="F8" i="26"/>
  <c r="E8" i="26"/>
  <c r="F6" i="26"/>
  <c r="F19" i="26" s="1"/>
  <c r="E6" i="26"/>
  <c r="I34" i="40"/>
  <c r="I35" i="40" s="1"/>
  <c r="H34" i="40"/>
  <c r="G34" i="40"/>
  <c r="G35" i="40" s="1"/>
  <c r="F34" i="40"/>
  <c r="E34" i="40"/>
  <c r="E35" i="40" s="1"/>
  <c r="I25" i="40"/>
  <c r="I31" i="40"/>
  <c r="H25" i="40"/>
  <c r="H31" i="40"/>
  <c r="H35" i="40" s="1"/>
  <c r="G25" i="40"/>
  <c r="G31" i="40" s="1"/>
  <c r="F25" i="40"/>
  <c r="F31" i="40" s="1"/>
  <c r="F35" i="40" s="1"/>
  <c r="E25" i="40"/>
  <c r="E31" i="40" s="1"/>
  <c r="I12" i="40"/>
  <c r="H12" i="40"/>
  <c r="G12" i="40"/>
  <c r="F12" i="40"/>
  <c r="F17" i="40" s="1"/>
  <c r="E12" i="40"/>
  <c r="I6" i="40"/>
  <c r="I17" i="40" s="1"/>
  <c r="H6" i="40"/>
  <c r="H17" i="40" s="1"/>
  <c r="G6" i="40"/>
  <c r="F6" i="40"/>
  <c r="E6" i="40"/>
  <c r="E17" i="40" s="1"/>
  <c r="H17" i="25"/>
  <c r="H19" i="25" s="1"/>
  <c r="G17" i="40"/>
  <c r="J53" i="19"/>
  <c r="J36" i="19"/>
  <c r="J13" i="19"/>
  <c r="J6" i="19"/>
  <c r="J5" i="19"/>
  <c r="J22" i="19" s="1"/>
  <c r="J24" i="19" s="1"/>
  <c r="AV10" i="36"/>
  <c r="AV9" i="34"/>
  <c r="W18" i="36"/>
  <c r="AV6" i="35"/>
  <c r="AV5" i="35"/>
  <c r="W17" i="36"/>
  <c r="AV7" i="35"/>
  <c r="W19" i="36"/>
  <c r="AV8" i="35"/>
  <c r="AV5" i="36"/>
  <c r="AV9" i="35"/>
  <c r="AV6" i="36"/>
  <c r="W16" i="34"/>
  <c r="AV7" i="36"/>
  <c r="W17" i="34"/>
  <c r="AV8" i="36"/>
  <c r="W18" i="34"/>
  <c r="AV9" i="36"/>
  <c r="AV5" i="34"/>
  <c r="AV6" i="34"/>
  <c r="W16" i="35"/>
  <c r="AV7" i="34"/>
  <c r="W17" i="35"/>
  <c r="AV8" i="34"/>
  <c r="AV17" i="34" s="1"/>
  <c r="W18" i="35"/>
  <c r="AU17" i="31"/>
  <c r="AU15" i="31"/>
  <c r="AU12" i="31"/>
  <c r="AU9" i="31"/>
  <c r="AU6" i="31"/>
  <c r="AU5" i="31"/>
  <c r="X20" i="25"/>
  <c r="X18" i="25"/>
  <c r="X16" i="25"/>
  <c r="X14" i="25"/>
  <c r="X15" i="25"/>
  <c r="X9" i="25"/>
  <c r="X7" i="25"/>
  <c r="X6" i="25"/>
  <c r="X5" i="25"/>
  <c r="J29" i="25"/>
  <c r="AV6" i="33"/>
  <c r="AV7" i="33"/>
  <c r="AV8" i="33"/>
  <c r="X13" i="25"/>
  <c r="AV9" i="33"/>
  <c r="J19" i="29"/>
  <c r="W25" i="31"/>
  <c r="J17" i="28"/>
  <c r="J17" i="30"/>
  <c r="AV5" i="33"/>
  <c r="AU10" i="31"/>
  <c r="AU7" i="31"/>
  <c r="AU24" i="31" s="1"/>
  <c r="AU8" i="31"/>
  <c r="J27" i="25"/>
  <c r="J28" i="25"/>
  <c r="AU11" i="31"/>
  <c r="J17" i="14"/>
  <c r="W24" i="31"/>
  <c r="X8" i="25"/>
  <c r="J17" i="29"/>
  <c r="W26" i="31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S10" i="36"/>
  <c r="AR10" i="36"/>
  <c r="AQ10" i="36"/>
  <c r="AP10" i="36"/>
  <c r="AO10" i="36"/>
  <c r="AN10" i="36"/>
  <c r="AM10" i="36"/>
  <c r="AL10" i="36"/>
  <c r="AK10" i="36"/>
  <c r="AJ10" i="36"/>
  <c r="AI10" i="36"/>
  <c r="AH10" i="36"/>
  <c r="AT10" i="36"/>
  <c r="AS9" i="36"/>
  <c r="AR9" i="36"/>
  <c r="AQ9" i="36"/>
  <c r="AP9" i="36"/>
  <c r="AO9" i="36"/>
  <c r="AN9" i="36"/>
  <c r="AM9" i="36"/>
  <c r="AL9" i="36"/>
  <c r="AK9" i="36"/>
  <c r="AJ9" i="36"/>
  <c r="AI9" i="36"/>
  <c r="AH9" i="36"/>
  <c r="AT9" i="36"/>
  <c r="AS8" i="36"/>
  <c r="AR8" i="36"/>
  <c r="AQ8" i="36"/>
  <c r="AP8" i="36"/>
  <c r="AO8" i="36"/>
  <c r="AN8" i="36"/>
  <c r="AM8" i="36"/>
  <c r="AL8" i="36"/>
  <c r="AK8" i="36"/>
  <c r="AJ8" i="36"/>
  <c r="AI8" i="36"/>
  <c r="AH8" i="36"/>
  <c r="AS7" i="36"/>
  <c r="AR7" i="36"/>
  <c r="AQ7" i="36"/>
  <c r="AP7" i="36"/>
  <c r="AO7" i="36"/>
  <c r="AN7" i="36"/>
  <c r="AM7" i="36"/>
  <c r="AL7" i="36"/>
  <c r="AK7" i="36"/>
  <c r="AJ7" i="36"/>
  <c r="AI7" i="36"/>
  <c r="AH7" i="36"/>
  <c r="AT7" i="36"/>
  <c r="AS6" i="36"/>
  <c r="AR6" i="36"/>
  <c r="AQ6" i="36"/>
  <c r="AP6" i="36"/>
  <c r="AO6" i="36"/>
  <c r="AN6" i="36"/>
  <c r="AM6" i="36"/>
  <c r="AL6" i="36"/>
  <c r="AK6" i="36"/>
  <c r="AJ6" i="36"/>
  <c r="AI6" i="36"/>
  <c r="AH6" i="36"/>
  <c r="AT6" i="36"/>
  <c r="AS5" i="36"/>
  <c r="AR5" i="36"/>
  <c r="AQ5" i="36"/>
  <c r="AP5" i="36"/>
  <c r="AO5" i="36"/>
  <c r="AN5" i="36"/>
  <c r="AM5" i="36"/>
  <c r="AL5" i="36"/>
  <c r="AK5" i="36"/>
  <c r="AJ5" i="36"/>
  <c r="AI5" i="36"/>
  <c r="AH5" i="36"/>
  <c r="AT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T9" i="35"/>
  <c r="AS8" i="35"/>
  <c r="AR8" i="35"/>
  <c r="AQ8" i="35"/>
  <c r="AP8" i="35"/>
  <c r="AO8" i="35"/>
  <c r="AN8" i="35"/>
  <c r="AM8" i="35"/>
  <c r="AM18" i="35" s="1"/>
  <c r="AL8" i="35"/>
  <c r="AK8" i="35"/>
  <c r="AJ8" i="35"/>
  <c r="AI8" i="35"/>
  <c r="AH8" i="35"/>
  <c r="AT8" i="35"/>
  <c r="AS7" i="35"/>
  <c r="AR7" i="35"/>
  <c r="AQ7" i="35"/>
  <c r="AP7" i="35"/>
  <c r="AO7" i="35"/>
  <c r="AN7" i="35"/>
  <c r="AN16" i="35" s="1"/>
  <c r="AM7" i="35"/>
  <c r="AL7" i="35"/>
  <c r="AK7" i="35"/>
  <c r="AJ7" i="35"/>
  <c r="AI7" i="35"/>
  <c r="AH7" i="35"/>
  <c r="AT7" i="35"/>
  <c r="AS6" i="35"/>
  <c r="AR6" i="35"/>
  <c r="AQ6" i="35"/>
  <c r="AQ10" i="35" s="1"/>
  <c r="AP6" i="35"/>
  <c r="AO6" i="35"/>
  <c r="AO17" i="35" s="1"/>
  <c r="AN6" i="35"/>
  <c r="AM6" i="35"/>
  <c r="AM16" i="35" s="1"/>
  <c r="AL6" i="35"/>
  <c r="AK6" i="35"/>
  <c r="AJ6" i="35"/>
  <c r="AI6" i="35"/>
  <c r="AH6" i="35"/>
  <c r="AS5" i="35"/>
  <c r="AR5" i="35"/>
  <c r="AQ5" i="35"/>
  <c r="AP5" i="35"/>
  <c r="AO5" i="35"/>
  <c r="AN5" i="35"/>
  <c r="AM5" i="35"/>
  <c r="AL5" i="35"/>
  <c r="AK5" i="35"/>
  <c r="AJ5" i="35"/>
  <c r="AI5" i="35"/>
  <c r="AH5" i="35"/>
  <c r="AT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T9" i="34"/>
  <c r="AS8" i="34"/>
  <c r="AR8" i="34"/>
  <c r="AQ8" i="34"/>
  <c r="AP8" i="34"/>
  <c r="AO8" i="34"/>
  <c r="AN8" i="34"/>
  <c r="AM8" i="34"/>
  <c r="AL8" i="34"/>
  <c r="AL18" i="34" s="1"/>
  <c r="AK8" i="34"/>
  <c r="AJ8" i="34"/>
  <c r="AI8" i="34"/>
  <c r="AH8" i="34"/>
  <c r="AU8" i="34"/>
  <c r="AS7" i="34"/>
  <c r="AR7" i="34"/>
  <c r="AR16" i="34" s="1"/>
  <c r="AQ7" i="34"/>
  <c r="AP7" i="34"/>
  <c r="AO7" i="34"/>
  <c r="AO16" i="34" s="1"/>
  <c r="AN7" i="34"/>
  <c r="AM7" i="34"/>
  <c r="AL7" i="34"/>
  <c r="AK7" i="34"/>
  <c r="AJ7" i="34"/>
  <c r="AI7" i="34"/>
  <c r="AH7" i="34"/>
  <c r="AT7" i="34"/>
  <c r="AS6" i="34"/>
  <c r="AR6" i="34"/>
  <c r="AQ6" i="34"/>
  <c r="AP6" i="34"/>
  <c r="AO6" i="34"/>
  <c r="AN6" i="34"/>
  <c r="AN16" i="34" s="1"/>
  <c r="AM6" i="34"/>
  <c r="AL6" i="34"/>
  <c r="AK6" i="34"/>
  <c r="AJ6" i="34"/>
  <c r="AI6" i="34"/>
  <c r="AI10" i="34" s="1"/>
  <c r="AH6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T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T9" i="33"/>
  <c r="AS8" i="33"/>
  <c r="AR8" i="33"/>
  <c r="AR10" i="33" s="1"/>
  <c r="AQ8" i="33"/>
  <c r="AP8" i="33"/>
  <c r="AO8" i="33"/>
  <c r="AN8" i="33"/>
  <c r="AM8" i="33"/>
  <c r="AL8" i="33"/>
  <c r="AK8" i="33"/>
  <c r="AJ8" i="33"/>
  <c r="AI8" i="33"/>
  <c r="AH8" i="33"/>
  <c r="AT8" i="33"/>
  <c r="AS7" i="33"/>
  <c r="AR7" i="33"/>
  <c r="AQ7" i="33"/>
  <c r="AP7" i="33"/>
  <c r="AP18" i="33" s="1"/>
  <c r="AO7" i="33"/>
  <c r="AN7" i="33"/>
  <c r="AN16" i="33" s="1"/>
  <c r="AM7" i="33"/>
  <c r="AL7" i="33"/>
  <c r="AK7" i="33"/>
  <c r="AJ7" i="33"/>
  <c r="AI7" i="33"/>
  <c r="AH7" i="33"/>
  <c r="AH16" i="33" s="1"/>
  <c r="AS6" i="33"/>
  <c r="AR6" i="33"/>
  <c r="AQ6" i="33"/>
  <c r="AP6" i="33"/>
  <c r="AP10" i="33" s="1"/>
  <c r="AO6" i="33"/>
  <c r="AN6" i="33"/>
  <c r="AN10" i="33" s="1"/>
  <c r="AM6" i="33"/>
  <c r="AL6" i="33"/>
  <c r="AK6" i="33"/>
  <c r="AJ6" i="33"/>
  <c r="AI6" i="33"/>
  <c r="AH6" i="33"/>
  <c r="AT6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T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S17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S15" i="31"/>
  <c r="T13" i="31"/>
  <c r="S13" i="31"/>
  <c r="AQ13" i="31" s="1"/>
  <c r="R13" i="31"/>
  <c r="Q13" i="31"/>
  <c r="AO13" i="31" s="1"/>
  <c r="O13" i="31"/>
  <c r="AN13" i="31" s="1"/>
  <c r="N13" i="31"/>
  <c r="M13" i="31"/>
  <c r="L13" i="31"/>
  <c r="K13" i="31"/>
  <c r="AI13" i="31" s="1"/>
  <c r="J13" i="31"/>
  <c r="AH13" i="31" s="1"/>
  <c r="I13" i="31"/>
  <c r="AG13" i="31" s="1"/>
  <c r="H13" i="31"/>
  <c r="G13" i="31"/>
  <c r="F13" i="31"/>
  <c r="E13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S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S11" i="31"/>
  <c r="T10" i="31"/>
  <c r="S10" i="31"/>
  <c r="AQ10" i="31" s="1"/>
  <c r="R10" i="31"/>
  <c r="Q10" i="31"/>
  <c r="AO10" i="31" s="1"/>
  <c r="O10" i="31"/>
  <c r="AM10" i="31" s="1"/>
  <c r="N10" i="31"/>
  <c r="M10" i="31"/>
  <c r="L10" i="31"/>
  <c r="K10" i="31"/>
  <c r="AI10" i="31" s="1"/>
  <c r="J10" i="31"/>
  <c r="I10" i="31"/>
  <c r="H10" i="31"/>
  <c r="H14" i="31" s="1"/>
  <c r="H16" i="31" s="1"/>
  <c r="H18" i="31" s="1"/>
  <c r="G10" i="31"/>
  <c r="F10" i="31"/>
  <c r="E10" i="31"/>
  <c r="E14" i="31" s="1"/>
  <c r="E16" i="31" s="1"/>
  <c r="E18" i="31" s="1"/>
  <c r="AR9" i="31"/>
  <c r="AQ9" i="31"/>
  <c r="AP9" i="31"/>
  <c r="AO9" i="31"/>
  <c r="AN9" i="31"/>
  <c r="AM9" i="31"/>
  <c r="AL9" i="31"/>
  <c r="AK9" i="31"/>
  <c r="AJ9" i="31"/>
  <c r="AI9" i="31"/>
  <c r="AH9" i="31"/>
  <c r="AG9" i="31"/>
  <c r="AS9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AS8" i="31"/>
  <c r="AR7" i="31"/>
  <c r="AQ7" i="31"/>
  <c r="AP7" i="31"/>
  <c r="AO7" i="31"/>
  <c r="AN7" i="31"/>
  <c r="AM7" i="31"/>
  <c r="AL7" i="31"/>
  <c r="AL24" i="31" s="1"/>
  <c r="AK7" i="31"/>
  <c r="AJ7" i="31"/>
  <c r="AI7" i="31"/>
  <c r="AH7" i="31"/>
  <c r="AG7" i="31"/>
  <c r="AS7" i="31"/>
  <c r="AR6" i="31"/>
  <c r="AR24" i="31" s="1"/>
  <c r="AQ6" i="31"/>
  <c r="AP6" i="31"/>
  <c r="AO6" i="31"/>
  <c r="AN6" i="31"/>
  <c r="AM6" i="31"/>
  <c r="AM26" i="31" s="1"/>
  <c r="AL6" i="31"/>
  <c r="AK6" i="31"/>
  <c r="AJ6" i="31"/>
  <c r="AI6" i="31"/>
  <c r="AH6" i="31"/>
  <c r="AG6" i="31"/>
  <c r="AS6" i="31"/>
  <c r="AS24" i="31" s="1"/>
  <c r="AR5" i="31"/>
  <c r="AQ5" i="31"/>
  <c r="AP5" i="31"/>
  <c r="AO5" i="31"/>
  <c r="AN5" i="31"/>
  <c r="AM5" i="31"/>
  <c r="AL5" i="31"/>
  <c r="AK5" i="31"/>
  <c r="AJ5" i="31"/>
  <c r="AI5" i="31"/>
  <c r="AH5" i="31"/>
  <c r="AG5" i="31"/>
  <c r="AS5" i="31"/>
  <c r="AU9" i="36"/>
  <c r="AT15" i="31"/>
  <c r="AT17" i="31"/>
  <c r="AU5" i="35"/>
  <c r="U18" i="35"/>
  <c r="AU6" i="35"/>
  <c r="AU6" i="33"/>
  <c r="I14" i="31"/>
  <c r="I16" i="31" s="1"/>
  <c r="I18" i="31" s="1"/>
  <c r="AT12" i="31"/>
  <c r="AU6" i="34"/>
  <c r="AU16" i="34" s="1"/>
  <c r="V16" i="35"/>
  <c r="AT5" i="31"/>
  <c r="AU7" i="34"/>
  <c r="V25" i="31"/>
  <c r="V16" i="33"/>
  <c r="AU9" i="34"/>
  <c r="AU9" i="35"/>
  <c r="AR16" i="35"/>
  <c r="AN18" i="36"/>
  <c r="AU8" i="35"/>
  <c r="AT7" i="31"/>
  <c r="AU7" i="36"/>
  <c r="AT9" i="31"/>
  <c r="AT11" i="31"/>
  <c r="V26" i="31"/>
  <c r="AU7" i="33"/>
  <c r="AU5" i="36"/>
  <c r="V18" i="35"/>
  <c r="V17" i="35"/>
  <c r="AT8" i="31"/>
  <c r="AU6" i="36"/>
  <c r="AU5" i="33"/>
  <c r="AT6" i="31"/>
  <c r="V24" i="31"/>
  <c r="V17" i="33"/>
  <c r="AU9" i="33"/>
  <c r="V18" i="33"/>
  <c r="V17" i="36"/>
  <c r="V19" i="36"/>
  <c r="AU8" i="33"/>
  <c r="AU5" i="34"/>
  <c r="AU10" i="36"/>
  <c r="V18" i="36"/>
  <c r="AU8" i="36"/>
  <c r="AU7" i="35"/>
  <c r="V17" i="34"/>
  <c r="V18" i="34"/>
  <c r="V16" i="34"/>
  <c r="U18" i="36"/>
  <c r="AM11" i="36"/>
  <c r="AT6" i="35"/>
  <c r="U16" i="35"/>
  <c r="AT8" i="34"/>
  <c r="AP17" i="33"/>
  <c r="U18" i="33"/>
  <c r="U10" i="31"/>
  <c r="U13" i="31"/>
  <c r="U24" i="31"/>
  <c r="U26" i="31"/>
  <c r="AT7" i="33"/>
  <c r="AT8" i="36"/>
  <c r="AM17" i="36"/>
  <c r="AM16" i="33"/>
  <c r="U17" i="33"/>
  <c r="U16" i="34"/>
  <c r="AN17" i="36"/>
  <c r="U18" i="34"/>
  <c r="U17" i="35"/>
  <c r="AP16" i="33"/>
  <c r="AT6" i="34"/>
  <c r="AQ16" i="33"/>
  <c r="U17" i="36"/>
  <c r="U25" i="31"/>
  <c r="U16" i="33"/>
  <c r="AR16" i="33"/>
  <c r="AK16" i="34"/>
  <c r="AL16" i="34"/>
  <c r="AQ16" i="35"/>
  <c r="U19" i="36"/>
  <c r="U17" i="34"/>
  <c r="AO24" i="31"/>
  <c r="AT16" i="34"/>
  <c r="T18" i="25"/>
  <c r="T6" i="25"/>
  <c r="V18" i="25"/>
  <c r="W6" i="25"/>
  <c r="V6" i="25"/>
  <c r="U6" i="25"/>
  <c r="H27" i="25"/>
  <c r="I28" i="25"/>
  <c r="I29" i="25"/>
  <c r="G27" i="25"/>
  <c r="H29" i="25"/>
  <c r="G17" i="28"/>
  <c r="I27" i="25"/>
  <c r="H28" i="25"/>
  <c r="U18" i="25"/>
  <c r="F27" i="25"/>
  <c r="E18" i="30"/>
  <c r="E28" i="25"/>
  <c r="H17" i="14"/>
  <c r="G18" i="14"/>
  <c r="H17" i="30"/>
  <c r="E18" i="29"/>
  <c r="I17" i="28"/>
  <c r="E18" i="28"/>
  <c r="F18" i="28"/>
  <c r="G18" i="28"/>
  <c r="E29" i="25"/>
  <c r="W18" i="25"/>
  <c r="H18" i="14"/>
  <c r="F17" i="14"/>
  <c r="E17" i="29"/>
  <c r="G17" i="30"/>
  <c r="H19" i="14"/>
  <c r="G19" i="28"/>
  <c r="I19" i="28"/>
  <c r="E17" i="30"/>
  <c r="E19" i="30"/>
  <c r="E17" i="28"/>
  <c r="E19" i="28"/>
  <c r="I18" i="28"/>
  <c r="I17" i="30"/>
  <c r="F17" i="30"/>
  <c r="F19" i="29"/>
  <c r="F17" i="29"/>
  <c r="H17" i="29"/>
  <c r="G17" i="29"/>
  <c r="F18" i="29"/>
  <c r="U18" i="29"/>
  <c r="I17" i="29"/>
  <c r="I19" i="29"/>
  <c r="F19" i="28"/>
  <c r="F17" i="28"/>
  <c r="H17" i="28"/>
  <c r="I19" i="14"/>
  <c r="I17" i="14"/>
  <c r="G17" i="14"/>
  <c r="E17" i="14"/>
  <c r="V20" i="25"/>
  <c r="W20" i="25"/>
  <c r="X17" i="29"/>
  <c r="U17" i="28"/>
  <c r="W17" i="28"/>
  <c r="T16" i="25"/>
  <c r="J26" i="23"/>
  <c r="J25" i="23"/>
  <c r="J20" i="23"/>
  <c r="U7" i="25"/>
  <c r="U8" i="25"/>
  <c r="U27" i="25" s="1"/>
  <c r="U13" i="25"/>
  <c r="U14" i="25"/>
  <c r="U20" i="25"/>
  <c r="U5" i="25"/>
  <c r="T14" i="25"/>
  <c r="T20" i="25"/>
  <c r="T7" i="25"/>
  <c r="T5" i="25"/>
  <c r="U16" i="25"/>
  <c r="U15" i="25"/>
  <c r="T8" i="25"/>
  <c r="T13" i="25"/>
  <c r="I26" i="23"/>
  <c r="I25" i="23"/>
  <c r="I20" i="23"/>
  <c r="I9" i="23"/>
  <c r="I53" i="19"/>
  <c r="I36" i="19"/>
  <c r="I13" i="19"/>
  <c r="I6" i="19"/>
  <c r="I5" i="19" s="1"/>
  <c r="I22" i="19" s="1"/>
  <c r="I24" i="19" s="1"/>
  <c r="E27" i="25"/>
  <c r="H53" i="19"/>
  <c r="H36" i="19"/>
  <c r="H13" i="19"/>
  <c r="H5" i="19" s="1"/>
  <c r="H22" i="19" s="1"/>
  <c r="H24" i="19" s="1"/>
  <c r="H6" i="19"/>
  <c r="H9" i="23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F5" i="19" s="1"/>
  <c r="F22" i="19" s="1"/>
  <c r="F24" i="19" s="1"/>
  <c r="E6" i="19"/>
  <c r="E13" i="19"/>
  <c r="G6" i="19"/>
  <c r="G13" i="19"/>
  <c r="W9" i="25"/>
  <c r="W29" i="25" s="1"/>
  <c r="W8" i="25"/>
  <c r="V8" i="25"/>
  <c r="W13" i="25"/>
  <c r="V14" i="25"/>
  <c r="W14" i="25"/>
  <c r="V5" i="25"/>
  <c r="W5" i="25"/>
  <c r="W7" i="25"/>
  <c r="V7" i="25"/>
  <c r="V27" i="25" s="1"/>
  <c r="V13" i="25"/>
  <c r="W15" i="25"/>
  <c r="V16" i="25"/>
  <c r="W16" i="25"/>
  <c r="AG19" i="30" l="1"/>
  <c r="F39" i="26"/>
  <c r="I17" i="25"/>
  <c r="W12" i="25"/>
  <c r="AO10" i="34"/>
  <c r="AQ16" i="34"/>
  <c r="AK10" i="35"/>
  <c r="AP17" i="36"/>
  <c r="V8" i="28"/>
  <c r="AA15" i="25"/>
  <c r="M11" i="28"/>
  <c r="AY10" i="34"/>
  <c r="AA14" i="31"/>
  <c r="AY14" i="31" s="1"/>
  <c r="AO10" i="35"/>
  <c r="Z15" i="25"/>
  <c r="N17" i="25"/>
  <c r="AB17" i="25" s="1"/>
  <c r="AD8" i="28"/>
  <c r="S8" i="28"/>
  <c r="AT10" i="35"/>
  <c r="X28" i="25"/>
  <c r="Y8" i="29"/>
  <c r="M19" i="28"/>
  <c r="AF11" i="14"/>
  <c r="AO17" i="33"/>
  <c r="AJ10" i="34"/>
  <c r="W17" i="14"/>
  <c r="AW25" i="31"/>
  <c r="K5" i="19"/>
  <c r="K22" i="19" s="1"/>
  <c r="K24" i="19" s="1"/>
  <c r="S18" i="14"/>
  <c r="S11" i="14"/>
  <c r="S8" i="14"/>
  <c r="G5" i="19"/>
  <c r="G22" i="19" s="1"/>
  <c r="G24" i="19" s="1"/>
  <c r="AN18" i="35"/>
  <c r="AJ24" i="31"/>
  <c r="Z8" i="29"/>
  <c r="Z11" i="29" s="1"/>
  <c r="AB17" i="30"/>
  <c r="W27" i="25"/>
  <c r="E5" i="19"/>
  <c r="E22" i="19" s="1"/>
  <c r="E24" i="19" s="1"/>
  <c r="AU16" i="35"/>
  <c r="T14" i="31"/>
  <c r="T16" i="31" s="1"/>
  <c r="AA17" i="28"/>
  <c r="Z17" i="28"/>
  <c r="N11" i="29"/>
  <c r="S11" i="29" s="1"/>
  <c r="S8" i="29"/>
  <c r="X12" i="25"/>
  <c r="V17" i="14"/>
  <c r="V17" i="29"/>
  <c r="U17" i="30"/>
  <c r="AE11" i="30"/>
  <c r="AK18" i="34"/>
  <c r="T27" i="25"/>
  <c r="AN24" i="31"/>
  <c r="J18" i="30"/>
  <c r="AV10" i="35"/>
  <c r="J11" i="29"/>
  <c r="AZ10" i="34"/>
  <c r="J19" i="30"/>
  <c r="E19" i="26"/>
  <c r="X8" i="14"/>
  <c r="X18" i="14" s="1"/>
  <c r="AG11" i="30"/>
  <c r="AI19" i="36"/>
  <c r="AO11" i="36"/>
  <c r="AN11" i="36"/>
  <c r="AM19" i="36"/>
  <c r="AW17" i="36"/>
  <c r="AV11" i="36"/>
  <c r="AQ17" i="36"/>
  <c r="AS19" i="36"/>
  <c r="AV17" i="35"/>
  <c r="AZ16" i="35"/>
  <c r="AJ10" i="35"/>
  <c r="AL17" i="35"/>
  <c r="AY18" i="35"/>
  <c r="AU18" i="35"/>
  <c r="AP17" i="35"/>
  <c r="AN17" i="35"/>
  <c r="AN18" i="34"/>
  <c r="AM17" i="34"/>
  <c r="AP18" i="34"/>
  <c r="AO18" i="34"/>
  <c r="AH10" i="34"/>
  <c r="AU17" i="34"/>
  <c r="AS18" i="34"/>
  <c r="AR17" i="34"/>
  <c r="AH17" i="34"/>
  <c r="AT18" i="34"/>
  <c r="AX16" i="34"/>
  <c r="AK10" i="34"/>
  <c r="AL16" i="33"/>
  <c r="AM17" i="33"/>
  <c r="AO18" i="33"/>
  <c r="AG18" i="14"/>
  <c r="AG11" i="14"/>
  <c r="AG19" i="14"/>
  <c r="R19" i="25"/>
  <c r="AF17" i="25"/>
  <c r="U14" i="31"/>
  <c r="AL13" i="31"/>
  <c r="AK25" i="31"/>
  <c r="AJ25" i="31"/>
  <c r="AP24" i="31"/>
  <c r="AS13" i="31"/>
  <c r="AH26" i="31"/>
  <c r="AP10" i="31"/>
  <c r="AJ13" i="31"/>
  <c r="AV24" i="31"/>
  <c r="AK26" i="31"/>
  <c r="AL25" i="31"/>
  <c r="AG10" i="31"/>
  <c r="J14" i="31"/>
  <c r="J16" i="31" s="1"/>
  <c r="AH16" i="31" s="1"/>
  <c r="Z14" i="31"/>
  <c r="Z16" i="31" s="1"/>
  <c r="Z18" i="31" s="1"/>
  <c r="AM25" i="31"/>
  <c r="AM24" i="31"/>
  <c r="AO26" i="31"/>
  <c r="AN10" i="31"/>
  <c r="AK13" i="31"/>
  <c r="AL26" i="31"/>
  <c r="AX26" i="31"/>
  <c r="K14" i="31"/>
  <c r="AG18" i="31"/>
  <c r="AJ26" i="31"/>
  <c r="AI25" i="31"/>
  <c r="AV25" i="31"/>
  <c r="AN26" i="31"/>
  <c r="AM13" i="31"/>
  <c r="O14" i="31"/>
  <c r="F14" i="31"/>
  <c r="F16" i="31" s="1"/>
  <c r="F18" i="31" s="1"/>
  <c r="AN25" i="31"/>
  <c r="L14" i="31"/>
  <c r="L16" i="31" s="1"/>
  <c r="L18" i="31" s="1"/>
  <c r="AT10" i="31"/>
  <c r="AP25" i="31"/>
  <c r="AK24" i="31"/>
  <c r="AT24" i="31"/>
  <c r="AP13" i="31"/>
  <c r="AV10" i="31"/>
  <c r="AH25" i="31"/>
  <c r="AV13" i="31"/>
  <c r="AA8" i="30"/>
  <c r="AA19" i="30" s="1"/>
  <c r="G19" i="30"/>
  <c r="Y11" i="30"/>
  <c r="Z8" i="30"/>
  <c r="Z18" i="30" s="1"/>
  <c r="AE19" i="30"/>
  <c r="Y18" i="30"/>
  <c r="Z17" i="29"/>
  <c r="M11" i="29"/>
  <c r="X8" i="29"/>
  <c r="U17" i="29"/>
  <c r="Z18" i="29"/>
  <c r="E11" i="29"/>
  <c r="M19" i="29"/>
  <c r="M18" i="29"/>
  <c r="Y11" i="29"/>
  <c r="AB8" i="29"/>
  <c r="AB18" i="29" s="1"/>
  <c r="AD8" i="29"/>
  <c r="AE8" i="29"/>
  <c r="J18" i="28"/>
  <c r="AD18" i="28"/>
  <c r="AC17" i="28"/>
  <c r="V17" i="28"/>
  <c r="J19" i="28"/>
  <c r="O19" i="28"/>
  <c r="AE8" i="28"/>
  <c r="N19" i="28"/>
  <c r="S19" i="28" s="1"/>
  <c r="Y17" i="28"/>
  <c r="Z8" i="28"/>
  <c r="Z11" i="28" s="1"/>
  <c r="AF19" i="14"/>
  <c r="K18" i="14"/>
  <c r="N19" i="14"/>
  <c r="S19" i="14" s="1"/>
  <c r="E18" i="14"/>
  <c r="AD8" i="14"/>
  <c r="AD19" i="14" s="1"/>
  <c r="AE8" i="14"/>
  <c r="U17" i="14"/>
  <c r="O19" i="14"/>
  <c r="M19" i="14"/>
  <c r="O18" i="14"/>
  <c r="AC19" i="14"/>
  <c r="O11" i="14"/>
  <c r="Y17" i="14"/>
  <c r="AE12" i="25"/>
  <c r="AC15" i="25"/>
  <c r="AD15" i="25"/>
  <c r="O28" i="25"/>
  <c r="AD9" i="25"/>
  <c r="O12" i="25"/>
  <c r="AC27" i="25"/>
  <c r="P21" i="25"/>
  <c r="AF18" i="30"/>
  <c r="AF19" i="30"/>
  <c r="AF11" i="30"/>
  <c r="Q19" i="25"/>
  <c r="AE17" i="25"/>
  <c r="AF19" i="28"/>
  <c r="AF11" i="28"/>
  <c r="AN10" i="35"/>
  <c r="AP18" i="35"/>
  <c r="AJ16" i="33"/>
  <c r="AT10" i="34"/>
  <c r="AV10" i="34"/>
  <c r="AX17" i="34"/>
  <c r="AX16" i="35"/>
  <c r="AW16" i="35"/>
  <c r="AY18" i="33"/>
  <c r="AZ11" i="36"/>
  <c r="AL17" i="33"/>
  <c r="AS10" i="34"/>
  <c r="AQ17" i="34"/>
  <c r="AP17" i="34"/>
  <c r="AL10" i="35"/>
  <c r="AK18" i="35"/>
  <c r="AJ17" i="35"/>
  <c r="AO18" i="36"/>
  <c r="AV18" i="35"/>
  <c r="AY19" i="36"/>
  <c r="AN17" i="33"/>
  <c r="AI17" i="34"/>
  <c r="AO17" i="34"/>
  <c r="AQ10" i="34"/>
  <c r="AU18" i="34"/>
  <c r="AV18" i="36"/>
  <c r="AX16" i="33"/>
  <c r="AW16" i="34"/>
  <c r="AW18" i="35"/>
  <c r="AW18" i="36"/>
  <c r="AZ10" i="35"/>
  <c r="AJ11" i="36"/>
  <c r="AX11" i="36"/>
  <c r="AY17" i="36"/>
  <c r="AM18" i="33"/>
  <c r="AO18" i="35"/>
  <c r="AN17" i="34"/>
  <c r="AV19" i="36"/>
  <c r="AN18" i="33"/>
  <c r="AH11" i="36"/>
  <c r="AW18" i="34"/>
  <c r="AO16" i="35"/>
  <c r="AI16" i="34"/>
  <c r="AJ16" i="34"/>
  <c r="AN10" i="34"/>
  <c r="AM18" i="34"/>
  <c r="AH10" i="35"/>
  <c r="AV17" i="33"/>
  <c r="AV18" i="34"/>
  <c r="AR18" i="36"/>
  <c r="AH17" i="36"/>
  <c r="AK16" i="35"/>
  <c r="AI16" i="35"/>
  <c r="AS17" i="35"/>
  <c r="AX10" i="33"/>
  <c r="AP16" i="34"/>
  <c r="AM10" i="33"/>
  <c r="AL16" i="35"/>
  <c r="AO17" i="36"/>
  <c r="AR10" i="34"/>
  <c r="AL10" i="34"/>
  <c r="AO10" i="33"/>
  <c r="AT11" i="36"/>
  <c r="AS17" i="36"/>
  <c r="AR11" i="36"/>
  <c r="AQ18" i="36"/>
  <c r="AP18" i="36"/>
  <c r="AY18" i="36"/>
  <c r="AY10" i="35"/>
  <c r="AP10" i="34"/>
  <c r="AM17" i="35"/>
  <c r="AM18" i="36"/>
  <c r="AM16" i="34"/>
  <c r="AM10" i="35"/>
  <c r="AH18" i="34"/>
  <c r="AI17" i="36"/>
  <c r="AH18" i="36"/>
  <c r="AT18" i="36"/>
  <c r="AS18" i="36"/>
  <c r="AV17" i="36"/>
  <c r="AZ19" i="36"/>
  <c r="AU10" i="34"/>
  <c r="AH16" i="34"/>
  <c r="AS17" i="34"/>
  <c r="AO19" i="36"/>
  <c r="AJ17" i="34"/>
  <c r="AJ18" i="35"/>
  <c r="AJ16" i="35"/>
  <c r="AR18" i="34"/>
  <c r="AQ18" i="34"/>
  <c r="AP16" i="35"/>
  <c r="AO16" i="33"/>
  <c r="AU17" i="33"/>
  <c r="AU10" i="35"/>
  <c r="AL17" i="34"/>
  <c r="AK17" i="34"/>
  <c r="AI18" i="34"/>
  <c r="AL18" i="36"/>
  <c r="AK19" i="36"/>
  <c r="AK18" i="36"/>
  <c r="AJ18" i="36"/>
  <c r="AI18" i="36"/>
  <c r="AV16" i="34"/>
  <c r="AX18" i="34"/>
  <c r="AX10" i="35"/>
  <c r="AZ18" i="35"/>
  <c r="AZ18" i="36"/>
  <c r="AS16" i="34"/>
  <c r="AT18" i="35"/>
  <c r="AS18" i="35"/>
  <c r="AR10" i="35"/>
  <c r="AQ17" i="35"/>
  <c r="AX10" i="34"/>
  <c r="AW17" i="34"/>
  <c r="AZ17" i="36"/>
  <c r="AK17" i="35"/>
  <c r="AJ18" i="34"/>
  <c r="AN19" i="36"/>
  <c r="AH18" i="35"/>
  <c r="AT17" i="35"/>
  <c r="AW11" i="36"/>
  <c r="AX19" i="36"/>
  <c r="AT17" i="34"/>
  <c r="AU11" i="36"/>
  <c r="AL18" i="35"/>
  <c r="AM10" i="34"/>
  <c r="AH17" i="33"/>
  <c r="AT17" i="33"/>
  <c r="AS18" i="33"/>
  <c r="AV16" i="35"/>
  <c r="AX18" i="35"/>
  <c r="AY17" i="33"/>
  <c r="AZ18" i="33"/>
  <c r="AZ18" i="34"/>
  <c r="AW19" i="36"/>
  <c r="AY18" i="34"/>
  <c r="AZ17" i="34"/>
  <c r="AU19" i="36"/>
  <c r="AL18" i="33"/>
  <c r="AP10" i="35"/>
  <c r="AK10" i="33"/>
  <c r="AK16" i="33"/>
  <c r="AJ10" i="33"/>
  <c r="AI17" i="33"/>
  <c r="AY17" i="34"/>
  <c r="AZ17" i="33"/>
  <c r="AJ10" i="31"/>
  <c r="AQ24" i="31"/>
  <c r="AO25" i="31"/>
  <c r="AK10" i="31"/>
  <c r="AR10" i="31"/>
  <c r="AH10" i="31"/>
  <c r="AI26" i="31"/>
  <c r="AU13" i="31"/>
  <c r="W14" i="31"/>
  <c r="W16" i="31" s="1"/>
  <c r="W18" i="31" s="1"/>
  <c r="AU18" i="31" s="1"/>
  <c r="AT26" i="31"/>
  <c r="V14" i="31"/>
  <c r="V16" i="31" s="1"/>
  <c r="AW26" i="31"/>
  <c r="AU25" i="31"/>
  <c r="AV26" i="31"/>
  <c r="AS10" i="31"/>
  <c r="AL10" i="31"/>
  <c r="G14" i="31"/>
  <c r="G16" i="31" s="1"/>
  <c r="G18" i="31" s="1"/>
  <c r="AX10" i="31"/>
  <c r="M14" i="31"/>
  <c r="AP26" i="31"/>
  <c r="AG26" i="31"/>
  <c r="AS26" i="31"/>
  <c r="AR26" i="31"/>
  <c r="AQ25" i="31"/>
  <c r="S14" i="31"/>
  <c r="S16" i="31" s="1"/>
  <c r="AQ16" i="31" s="1"/>
  <c r="AH24" i="31"/>
  <c r="AG25" i="31"/>
  <c r="Y14" i="31"/>
  <c r="AR13" i="31"/>
  <c r="AW24" i="31"/>
  <c r="AY24" i="31"/>
  <c r="AA16" i="31"/>
  <c r="AX24" i="31"/>
  <c r="AT13" i="31"/>
  <c r="AU26" i="31"/>
  <c r="AX25" i="31"/>
  <c r="AG14" i="31"/>
  <c r="R14" i="31"/>
  <c r="R16" i="31" s="1"/>
  <c r="I19" i="25"/>
  <c r="W19" i="25" s="1"/>
  <c r="W17" i="25"/>
  <c r="L12" i="25"/>
  <c r="L17" i="25" s="1"/>
  <c r="L19" i="25" s="1"/>
  <c r="AA9" i="25"/>
  <c r="AB27" i="25"/>
  <c r="X29" i="25"/>
  <c r="H21" i="25"/>
  <c r="J21" i="25"/>
  <c r="X21" i="25" s="1"/>
  <c r="X19" i="25"/>
  <c r="V9" i="25"/>
  <c r="G29" i="25"/>
  <c r="X27" i="25"/>
  <c r="T9" i="25"/>
  <c r="Z9" i="25"/>
  <c r="Z28" i="25" s="1"/>
  <c r="K12" i="25"/>
  <c r="F29" i="25"/>
  <c r="X17" i="25"/>
  <c r="Z27" i="25"/>
  <c r="M17" i="25"/>
  <c r="U9" i="25"/>
  <c r="AC9" i="25"/>
  <c r="AB9" i="25"/>
  <c r="AB28" i="25" s="1"/>
  <c r="W28" i="25"/>
  <c r="F12" i="25"/>
  <c r="O29" i="25"/>
  <c r="N19" i="25"/>
  <c r="G12" i="25"/>
  <c r="Y9" i="25"/>
  <c r="L29" i="25"/>
  <c r="AC12" i="25"/>
  <c r="N28" i="25"/>
  <c r="K29" i="25"/>
  <c r="I18" i="14"/>
  <c r="W8" i="14"/>
  <c r="W11" i="14" s="1"/>
  <c r="AA8" i="29"/>
  <c r="AA19" i="29" s="1"/>
  <c r="K11" i="14"/>
  <c r="AB17" i="29"/>
  <c r="L11" i="28"/>
  <c r="AD11" i="14"/>
  <c r="J19" i="14"/>
  <c r="V17" i="30"/>
  <c r="O18" i="29"/>
  <c r="N19" i="29"/>
  <c r="S19" i="29" s="1"/>
  <c r="AC17" i="29"/>
  <c r="X19" i="14"/>
  <c r="W8" i="28"/>
  <c r="W18" i="28" s="1"/>
  <c r="L19" i="28"/>
  <c r="AA17" i="29"/>
  <c r="L18" i="28"/>
  <c r="N18" i="30"/>
  <c r="S18" i="30" s="1"/>
  <c r="Z8" i="14"/>
  <c r="Z18" i="14" s="1"/>
  <c r="O11" i="29"/>
  <c r="Y19" i="29"/>
  <c r="AA8" i="28"/>
  <c r="Y17" i="30"/>
  <c r="K19" i="28"/>
  <c r="L19" i="29"/>
  <c r="AB11" i="28"/>
  <c r="N18" i="29"/>
  <c r="S18" i="29" s="1"/>
  <c r="Z18" i="28"/>
  <c r="H11" i="28"/>
  <c r="X17" i="28"/>
  <c r="L18" i="29"/>
  <c r="AB17" i="28"/>
  <c r="AC17" i="30"/>
  <c r="Z19" i="29"/>
  <c r="X11" i="14"/>
  <c r="X11" i="29"/>
  <c r="K19" i="30"/>
  <c r="N18" i="28"/>
  <c r="S18" i="28" s="1"/>
  <c r="AC8" i="28"/>
  <c r="AC11" i="28" s="1"/>
  <c r="F18" i="30"/>
  <c r="K18" i="30"/>
  <c r="AC8" i="29"/>
  <c r="AC11" i="14"/>
  <c r="AA18" i="30"/>
  <c r="AD11" i="29"/>
  <c r="V19" i="14"/>
  <c r="AD19" i="29"/>
  <c r="AD18" i="29"/>
  <c r="Y11" i="14"/>
  <c r="Y19" i="14"/>
  <c r="Y18" i="14"/>
  <c r="AD18" i="14"/>
  <c r="G11" i="14"/>
  <c r="H11" i="29"/>
  <c r="W17" i="30"/>
  <c r="M11" i="30"/>
  <c r="H18" i="29"/>
  <c r="AC18" i="14"/>
  <c r="AC17" i="14"/>
  <c r="I18" i="30"/>
  <c r="H19" i="30"/>
  <c r="I18" i="29"/>
  <c r="Y18" i="29"/>
  <c r="V8" i="14"/>
  <c r="Y8" i="28"/>
  <c r="AB8" i="14"/>
  <c r="AD19" i="28"/>
  <c r="AD17" i="14"/>
  <c r="F18" i="14"/>
  <c r="I19" i="30"/>
  <c r="X17" i="14"/>
  <c r="V18" i="28"/>
  <c r="AA8" i="14"/>
  <c r="M18" i="14"/>
  <c r="AB8" i="30"/>
  <c r="W17" i="29"/>
  <c r="U8" i="14"/>
  <c r="U11" i="14" s="1"/>
  <c r="V8" i="29"/>
  <c r="Z17" i="14"/>
  <c r="M19" i="30"/>
  <c r="J18" i="14"/>
  <c r="V11" i="28"/>
  <c r="U11" i="29"/>
  <c r="V19" i="28"/>
  <c r="G19" i="29"/>
  <c r="U18" i="28"/>
  <c r="J11" i="14"/>
  <c r="AB19" i="28"/>
  <c r="AD17" i="29"/>
  <c r="U19" i="28"/>
  <c r="U19" i="29"/>
  <c r="X11" i="28"/>
  <c r="L19" i="14"/>
  <c r="AD11" i="28"/>
  <c r="H18" i="30"/>
  <c r="F19" i="14"/>
  <c r="G18" i="29"/>
  <c r="Y17" i="29"/>
  <c r="X8" i="28"/>
  <c r="W8" i="29"/>
  <c r="L18" i="14"/>
  <c r="Z19" i="30"/>
  <c r="H19" i="28"/>
  <c r="AK11" i="36"/>
  <c r="AI11" i="36"/>
  <c r="AS11" i="36"/>
  <c r="AJ17" i="36"/>
  <c r="AH19" i="36"/>
  <c r="AU18" i="36"/>
  <c r="AR17" i="36"/>
  <c r="AT17" i="36"/>
  <c r="AK17" i="36"/>
  <c r="AJ19" i="36"/>
  <c r="AL19" i="36"/>
  <c r="AP19" i="36"/>
  <c r="AR19" i="36"/>
  <c r="AX18" i="36"/>
  <c r="AU17" i="36"/>
  <c r="AL17" i="36"/>
  <c r="AQ11" i="36"/>
  <c r="AP11" i="36"/>
  <c r="AT19" i="36"/>
  <c r="AL11" i="36"/>
  <c r="AQ19" i="36"/>
  <c r="AX17" i="36"/>
  <c r="BA9" i="36"/>
  <c r="AH17" i="35"/>
  <c r="AI10" i="35"/>
  <c r="AQ18" i="35"/>
  <c r="AS10" i="35"/>
  <c r="AI18" i="35"/>
  <c r="AT16" i="35"/>
  <c r="AX17" i="35"/>
  <c r="AR18" i="35"/>
  <c r="AW17" i="35"/>
  <c r="AU17" i="35"/>
  <c r="AI17" i="35"/>
  <c r="AR17" i="35"/>
  <c r="AS16" i="35"/>
  <c r="AH16" i="35"/>
  <c r="AY16" i="35"/>
  <c r="AY17" i="35"/>
  <c r="AZ16" i="34"/>
  <c r="AW18" i="33"/>
  <c r="AI10" i="33"/>
  <c r="AI16" i="33"/>
  <c r="AU10" i="33"/>
  <c r="AU18" i="33"/>
  <c r="AH18" i="33"/>
  <c r="AK18" i="33"/>
  <c r="AW16" i="33"/>
  <c r="AW17" i="33"/>
  <c r="AK17" i="33"/>
  <c r="AW10" i="33"/>
  <c r="AL10" i="33"/>
  <c r="AX17" i="33"/>
  <c r="AV18" i="33"/>
  <c r="AY16" i="33"/>
  <c r="AT10" i="33"/>
  <c r="AS10" i="33"/>
  <c r="AS16" i="33"/>
  <c r="AR17" i="33"/>
  <c r="AQ18" i="33"/>
  <c r="AZ16" i="33"/>
  <c r="AT18" i="33"/>
  <c r="AH10" i="33"/>
  <c r="AQ10" i="33"/>
  <c r="AT16" i="33"/>
  <c r="AV10" i="33"/>
  <c r="AS17" i="33"/>
  <c r="AQ17" i="33"/>
  <c r="AV16" i="33"/>
  <c r="AI18" i="33"/>
  <c r="AR18" i="33"/>
  <c r="AJ17" i="33"/>
  <c r="AX18" i="33"/>
  <c r="AZ10" i="33"/>
  <c r="AJ18" i="33"/>
  <c r="AU16" i="33"/>
  <c r="BA8" i="33"/>
  <c r="AB11" i="36"/>
  <c r="AB17" i="36"/>
  <c r="AB10" i="35"/>
  <c r="BA7" i="36"/>
  <c r="BA17" i="36" s="1"/>
  <c r="AB18" i="35"/>
  <c r="AB19" i="32"/>
  <c r="T18" i="31"/>
  <c r="V18" i="31"/>
  <c r="AS14" i="31"/>
  <c r="AW13" i="31"/>
  <c r="AB26" i="31"/>
  <c r="N14" i="31"/>
  <c r="AZ25" i="31"/>
  <c r="AT25" i="31"/>
  <c r="AG24" i="31"/>
  <c r="Q14" i="31"/>
  <c r="AR25" i="31"/>
  <c r="AS25" i="31"/>
  <c r="AG16" i="31"/>
  <c r="AI24" i="31"/>
  <c r="AQ26" i="31"/>
  <c r="AY26" i="31"/>
  <c r="U16" i="31"/>
  <c r="AY25" i="31"/>
  <c r="AB24" i="31"/>
  <c r="W18" i="30"/>
  <c r="W19" i="30"/>
  <c r="Z11" i="30"/>
  <c r="F19" i="30"/>
  <c r="X8" i="30"/>
  <c r="H11" i="30"/>
  <c r="Z17" i="30"/>
  <c r="U8" i="30"/>
  <c r="V8" i="30"/>
  <c r="W11" i="30"/>
  <c r="AD17" i="30"/>
  <c r="BA16" i="34"/>
  <c r="BA10" i="34"/>
  <c r="N30" i="19"/>
  <c r="N32" i="19"/>
  <c r="AD8" i="30"/>
  <c r="AD18" i="30" s="1"/>
  <c r="O18" i="30"/>
  <c r="AZ13" i="31"/>
  <c r="N33" i="19"/>
  <c r="BA16" i="33"/>
  <c r="N34" i="19"/>
  <c r="BA17" i="34"/>
  <c r="O19" i="30"/>
  <c r="N45" i="19"/>
  <c r="N43" i="19"/>
  <c r="N49" i="19"/>
  <c r="N52" i="19"/>
  <c r="N42" i="19"/>
  <c r="N51" i="19"/>
  <c r="N50" i="19"/>
  <c r="N44" i="19"/>
  <c r="N48" i="19"/>
  <c r="N47" i="19"/>
  <c r="AZ24" i="31"/>
  <c r="AZ26" i="31"/>
  <c r="AC8" i="30"/>
  <c r="AB17" i="35"/>
  <c r="BA5" i="34"/>
  <c r="BA9" i="33"/>
  <c r="BA5" i="35"/>
  <c r="AB16" i="35"/>
  <c r="AB16" i="33"/>
  <c r="O11" i="30"/>
  <c r="AB18" i="33"/>
  <c r="BA6" i="35"/>
  <c r="N11" i="30"/>
  <c r="S11" i="30" s="1"/>
  <c r="AZ11" i="31"/>
  <c r="AB10" i="33"/>
  <c r="AB19" i="36"/>
  <c r="BA8" i="36"/>
  <c r="AB18" i="34"/>
  <c r="BA18" i="34"/>
  <c r="AB17" i="34"/>
  <c r="N31" i="19"/>
  <c r="AB18" i="36"/>
  <c r="AB10" i="31"/>
  <c r="AD5" i="30"/>
  <c r="AB10" i="34"/>
  <c r="AB28" i="32"/>
  <c r="BA9" i="35"/>
  <c r="AA11" i="29" l="1"/>
  <c r="W19" i="28"/>
  <c r="R21" i="25"/>
  <c r="AF21" i="25" s="1"/>
  <c r="AF19" i="25"/>
  <c r="AV16" i="31"/>
  <c r="AJ14" i="31"/>
  <c r="AR16" i="31"/>
  <c r="AH14" i="31"/>
  <c r="J18" i="31"/>
  <c r="AH18" i="31" s="1"/>
  <c r="AR14" i="31"/>
  <c r="AX14" i="31"/>
  <c r="AZ10" i="31"/>
  <c r="BA10" i="31"/>
  <c r="K16" i="31"/>
  <c r="AI14" i="31"/>
  <c r="O16" i="31"/>
  <c r="AN14" i="31"/>
  <c r="AM14" i="31"/>
  <c r="AA11" i="30"/>
  <c r="AB19" i="29"/>
  <c r="AB11" i="29"/>
  <c r="AA18" i="29"/>
  <c r="X18" i="29"/>
  <c r="X19" i="29"/>
  <c r="AE11" i="29"/>
  <c r="AE19" i="29"/>
  <c r="AE18" i="29"/>
  <c r="AE18" i="28"/>
  <c r="AE11" i="28"/>
  <c r="AE19" i="28"/>
  <c r="AC18" i="28"/>
  <c r="AC19" i="28"/>
  <c r="W11" i="28"/>
  <c r="Z19" i="28"/>
  <c r="Z19" i="14"/>
  <c r="AE18" i="14"/>
  <c r="AE19" i="14"/>
  <c r="AE11" i="14"/>
  <c r="AA12" i="25"/>
  <c r="AB29" i="25"/>
  <c r="O17" i="25"/>
  <c r="AD12" i="25"/>
  <c r="I21" i="25"/>
  <c r="AD28" i="25"/>
  <c r="AD29" i="25"/>
  <c r="Q21" i="25"/>
  <c r="AE21" i="25" s="1"/>
  <c r="AE19" i="25"/>
  <c r="BA17" i="33"/>
  <c r="BA18" i="36"/>
  <c r="AU16" i="31"/>
  <c r="AV14" i="31"/>
  <c r="AT14" i="31"/>
  <c r="AU14" i="31"/>
  <c r="AY16" i="31"/>
  <c r="AA18" i="31"/>
  <c r="AY18" i="31" s="1"/>
  <c r="AK14" i="31"/>
  <c r="M16" i="31"/>
  <c r="AQ14" i="31"/>
  <c r="S18" i="31"/>
  <c r="AQ18" i="31" s="1"/>
  <c r="Y16" i="31"/>
  <c r="AW14" i="31"/>
  <c r="AA29" i="25"/>
  <c r="AA28" i="25"/>
  <c r="Z29" i="25"/>
  <c r="M19" i="25"/>
  <c r="AA17" i="25"/>
  <c r="Y29" i="25"/>
  <c r="Y28" i="25"/>
  <c r="K17" i="25"/>
  <c r="Y12" i="25"/>
  <c r="AB19" i="25"/>
  <c r="N21" i="25"/>
  <c r="AB21" i="25" s="1"/>
  <c r="Z12" i="25"/>
  <c r="V12" i="25"/>
  <c r="G17" i="25"/>
  <c r="U12" i="25"/>
  <c r="AC28" i="25"/>
  <c r="AC29" i="25"/>
  <c r="W21" i="25"/>
  <c r="L21" i="25"/>
  <c r="T12" i="25"/>
  <c r="F17" i="25"/>
  <c r="T28" i="25"/>
  <c r="T29" i="25"/>
  <c r="U28" i="25"/>
  <c r="U29" i="25"/>
  <c r="V28" i="25"/>
  <c r="V29" i="25"/>
  <c r="AC11" i="29"/>
  <c r="AC19" i="29"/>
  <c r="AC18" i="29"/>
  <c r="AA11" i="28"/>
  <c r="AA18" i="28"/>
  <c r="AA19" i="28"/>
  <c r="W18" i="14"/>
  <c r="W19" i="14"/>
  <c r="Z11" i="14"/>
  <c r="AA11" i="14"/>
  <c r="AA18" i="14"/>
  <c r="AA19" i="14"/>
  <c r="W18" i="29"/>
  <c r="W19" i="29"/>
  <c r="X18" i="28"/>
  <c r="X19" i="28"/>
  <c r="V19" i="29"/>
  <c r="V18" i="29"/>
  <c r="V11" i="29"/>
  <c r="U19" i="14"/>
  <c r="U18" i="14"/>
  <c r="AB18" i="30"/>
  <c r="AB19" i="30"/>
  <c r="AB11" i="30"/>
  <c r="Y18" i="28"/>
  <c r="Y19" i="28"/>
  <c r="Y11" i="28"/>
  <c r="W11" i="29"/>
  <c r="AB18" i="14"/>
  <c r="AB19" i="14"/>
  <c r="AB11" i="14"/>
  <c r="V11" i="14"/>
  <c r="V18" i="14"/>
  <c r="BA17" i="35"/>
  <c r="BA19" i="36"/>
  <c r="BA11" i="36"/>
  <c r="Q16" i="31"/>
  <c r="AP16" i="31" s="1"/>
  <c r="AO14" i="31"/>
  <c r="AV18" i="31"/>
  <c r="R18" i="31"/>
  <c r="U18" i="31"/>
  <c r="AS18" i="31" s="1"/>
  <c r="AS16" i="31"/>
  <c r="AT16" i="31"/>
  <c r="AP14" i="31"/>
  <c r="AL14" i="31"/>
  <c r="N16" i="31"/>
  <c r="V19" i="30"/>
  <c r="V18" i="30"/>
  <c r="V11" i="30"/>
  <c r="X19" i="30"/>
  <c r="X18" i="30"/>
  <c r="X11" i="30"/>
  <c r="U11" i="30"/>
  <c r="U18" i="30"/>
  <c r="U19" i="30"/>
  <c r="AD19" i="30"/>
  <c r="BA16" i="35"/>
  <c r="BA10" i="35"/>
  <c r="N53" i="19"/>
  <c r="BA18" i="33"/>
  <c r="AC18" i="30"/>
  <c r="AC19" i="30"/>
  <c r="AC11" i="30"/>
  <c r="BA10" i="33"/>
  <c r="BA18" i="35"/>
  <c r="N36" i="19"/>
  <c r="AD11" i="30"/>
  <c r="AB14" i="31"/>
  <c r="BA14" i="31" s="1"/>
  <c r="AN16" i="31" l="1"/>
  <c r="AM16" i="31"/>
  <c r="O18" i="31"/>
  <c r="K18" i="31"/>
  <c r="AJ16" i="31"/>
  <c r="AI16" i="31"/>
  <c r="AD17" i="25"/>
  <c r="AC17" i="25"/>
  <c r="O19" i="25"/>
  <c r="Y18" i="31"/>
  <c r="AW16" i="31"/>
  <c r="AX16" i="31"/>
  <c r="AR18" i="31"/>
  <c r="M18" i="31"/>
  <c r="AK18" i="31" s="1"/>
  <c r="AK16" i="31"/>
  <c r="Y17" i="25"/>
  <c r="K19" i="25"/>
  <c r="Z17" i="25"/>
  <c r="F19" i="25"/>
  <c r="T17" i="25"/>
  <c r="G19" i="25"/>
  <c r="U17" i="25"/>
  <c r="V17" i="25"/>
  <c r="M21" i="25"/>
  <c r="AA21" i="25" s="1"/>
  <c r="AA19" i="25"/>
  <c r="AL16" i="31"/>
  <c r="N18" i="31"/>
  <c r="AL18" i="31" s="1"/>
  <c r="AT18" i="31"/>
  <c r="AO16" i="31"/>
  <c r="Q18" i="31"/>
  <c r="AO18" i="31" s="1"/>
  <c r="AZ14" i="31"/>
  <c r="AB16" i="31"/>
  <c r="BA16" i="31" s="1"/>
  <c r="N18" i="19"/>
  <c r="N14" i="19"/>
  <c r="N7" i="19"/>
  <c r="N20" i="19"/>
  <c r="N19" i="19"/>
  <c r="N8" i="19"/>
  <c r="N10" i="19"/>
  <c r="N21" i="19"/>
  <c r="N17" i="19"/>
  <c r="N12" i="19"/>
  <c r="N11" i="19"/>
  <c r="N9" i="19"/>
  <c r="N13" i="19"/>
  <c r="N6" i="19"/>
  <c r="N15" i="19"/>
  <c r="N16" i="19"/>
  <c r="N5" i="19"/>
  <c r="AI18" i="31" l="1"/>
  <c r="AJ18" i="31"/>
  <c r="AN18" i="31"/>
  <c r="AM18" i="31"/>
  <c r="AD19" i="25"/>
  <c r="O21" i="25"/>
  <c r="AC19" i="25"/>
  <c r="AW18" i="31"/>
  <c r="AX18" i="31"/>
  <c r="G21" i="25"/>
  <c r="U19" i="25"/>
  <c r="V19" i="25"/>
  <c r="T19" i="25"/>
  <c r="F21" i="25"/>
  <c r="T21" i="25" s="1"/>
  <c r="K21" i="25"/>
  <c r="Y19" i="25"/>
  <c r="Z19" i="25"/>
  <c r="N22" i="19"/>
  <c r="AP18" i="31"/>
  <c r="AB18" i="31"/>
  <c r="AZ16" i="31"/>
  <c r="O12" i="41"/>
  <c r="AZ18" i="31" l="1"/>
  <c r="BA18" i="31"/>
  <c r="AD21" i="25"/>
  <c r="AC21" i="25"/>
  <c r="Y21" i="25"/>
  <c r="Z21" i="25"/>
  <c r="U21" i="25"/>
  <c r="V21" i="25"/>
  <c r="BC10" i="36" l="1"/>
  <c r="BC9" i="35"/>
  <c r="BC9" i="34"/>
  <c r="BB9" i="31"/>
  <c r="BB5" i="31"/>
  <c r="BB12" i="31"/>
  <c r="BB17" i="31"/>
  <c r="BC5" i="36" l="1"/>
  <c r="BC8" i="36"/>
  <c r="AD17" i="36"/>
  <c r="BC7" i="36"/>
  <c r="AD19" i="36"/>
  <c r="AD18" i="36"/>
  <c r="BC9" i="36"/>
  <c r="BC6" i="36"/>
  <c r="AD11" i="36"/>
  <c r="BC6" i="35"/>
  <c r="AD10" i="35"/>
  <c r="BC5" i="35"/>
  <c r="AD17" i="35"/>
  <c r="BC8" i="35"/>
  <c r="AD18" i="35"/>
  <c r="BC7" i="35"/>
  <c r="AD16" i="35"/>
  <c r="AD17" i="34"/>
  <c r="BC8" i="34"/>
  <c r="AD16" i="34"/>
  <c r="BC7" i="34"/>
  <c r="AD18" i="34"/>
  <c r="BC5" i="34"/>
  <c r="BC6" i="34"/>
  <c r="AD10" i="34"/>
  <c r="AD10" i="33"/>
  <c r="BC6" i="33"/>
  <c r="AD17" i="33"/>
  <c r="BC8" i="33"/>
  <c r="BC7" i="33"/>
  <c r="AD16" i="33"/>
  <c r="AD18" i="33"/>
  <c r="BC5" i="33"/>
  <c r="AD10" i="32"/>
  <c r="BC9" i="33"/>
  <c r="BB15" i="31"/>
  <c r="BB8" i="31"/>
  <c r="AD25" i="31"/>
  <c r="E8" i="39"/>
  <c r="E13" i="39" s="1"/>
  <c r="AD26" i="31"/>
  <c r="BB7" i="31"/>
  <c r="AD24" i="31"/>
  <c r="AD10" i="31"/>
  <c r="BB10" i="31" s="1"/>
  <c r="BB6" i="31"/>
  <c r="E15" i="39"/>
  <c r="E23" i="39" s="1"/>
  <c r="AD13" i="31"/>
  <c r="BB11" i="31"/>
  <c r="BC10" i="34" l="1"/>
  <c r="BC11" i="36"/>
  <c r="BC17" i="36"/>
  <c r="BC19" i="36"/>
  <c r="BC18" i="36"/>
  <c r="BC17" i="35"/>
  <c r="BC10" i="35"/>
  <c r="BC16" i="35"/>
  <c r="BC18" i="35"/>
  <c r="BC18" i="34"/>
  <c r="BC16" i="34"/>
  <c r="BC17" i="34"/>
  <c r="BC16" i="33"/>
  <c r="BC18" i="33"/>
  <c r="AD28" i="32"/>
  <c r="BC10" i="33"/>
  <c r="BC17" i="33"/>
  <c r="BB25" i="31"/>
  <c r="BB13" i="31"/>
  <c r="AD14" i="31"/>
  <c r="BB26" i="31"/>
  <c r="BB24" i="31"/>
  <c r="E25" i="39"/>
  <c r="AD16" i="31" l="1"/>
  <c r="BB14" i="31"/>
  <c r="Q12" i="41" l="1"/>
  <c r="AD18" i="31"/>
  <c r="BB18" i="31" s="1"/>
  <c r="BB16" i="31"/>
</calcChain>
</file>

<file path=xl/sharedStrings.xml><?xml version="1.0" encoding="utf-8"?>
<sst xmlns="http://schemas.openxmlformats.org/spreadsheetml/2006/main" count="1484" uniqueCount="233">
  <si>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</si>
  <si>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</si>
  <si>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</si>
  <si>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</si>
  <si>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</si>
  <si>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</si>
  <si>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</si>
  <si>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</si>
  <si>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</si>
  <si>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</si>
  <si>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</si>
  <si>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</si>
  <si>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</si>
  <si>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</si>
  <si>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</si>
  <si>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</si>
  <si>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</si>
  <si>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</si>
  <si>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</si>
  <si>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</si>
  <si>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</si>
  <si>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</si>
  <si>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</si>
  <si>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</si>
  <si>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</si>
  <si>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</si>
  <si>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</si>
  <si>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</si>
  <si>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</si>
  <si>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</si>
  <si>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</si>
  <si>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</si>
  <si>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</si>
  <si>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</si>
  <si>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</si>
  <si>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</si>
  <si>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</si>
  <si>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</si>
  <si>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</si>
  <si>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</si>
  <si>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</si>
  <si>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</si>
  <si>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</si>
  <si>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</si>
  <si>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</si>
  <si>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</si>
  <si>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</si>
  <si>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</si>
  <si>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</si>
  <si>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</si>
  <si>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</si>
  <si>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</si>
  <si>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</si>
  <si>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</si>
  <si>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</si>
  <si>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</si>
  <si>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</si>
  <si>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</si>
  <si>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</si>
  <si>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</si>
  <si>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</si>
  <si>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</si>
  <si>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</si>
  <si>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</si>
  <si>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</si>
  <si>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</si>
  <si>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</si>
  <si>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</si>
  <si>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</si>
  <si>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</si>
  <si>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</si>
  <si>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</si>
  <si>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</si>
  <si>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</si>
  <si>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</si>
  <si>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</si>
  <si>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</si>
  <si>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</si>
  <si>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</si>
  <si>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</si>
  <si>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</si>
  <si>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</si>
  <si>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</si>
  <si>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</si>
  <si>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</si>
  <si>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</si>
  <si>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</si>
  <si>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</si>
  <si>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</si>
  <si>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</si>
  <si>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</si>
  <si>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</si>
  <si>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</si>
  <si>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</si>
  <si>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</si>
  <si>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</si>
  <si>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</si>
  <si>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</si>
  <si>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</si>
  <si>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</si>
  <si>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</si>
  <si>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</si>
  <si>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</si>
  <si>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</si>
  <si>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</si>
  <si>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</si>
  <si>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</si>
  <si>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</si>
  <si>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</si>
  <si>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</si>
  <si>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</si>
  <si>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</si>
  <si>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</si>
  <si>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</si>
  <si>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</si>
  <si>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</si>
  <si>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</si>
  <si>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</si>
  <si>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</si>
  <si>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</si>
  <si>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</si>
  <si>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</si>
  <si>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</si>
  <si>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</si>
  <si>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</si>
  <si>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</si>
  <si>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</si>
  <si>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</si>
  <si>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</si>
  <si>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</si>
  <si>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</si>
  <si>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</si>
  <si>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</si>
  <si>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</si>
  <si>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</si>
  <si>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</si>
  <si>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</si>
  <si>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</si>
  <si>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</si>
  <si>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</si>
  <si>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</si>
  <si>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</si>
  <si>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</si>
  <si>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</si>
  <si>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</si>
  <si>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</si>
  <si>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</si>
  <si>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</si>
  <si>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</si>
  <si>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</si>
  <si>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</si>
  <si>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</si>
  <si>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</si>
  <si>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</si>
  <si>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</si>
  <si>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</si>
  <si>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</si>
  <si>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</si>
  <si>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</si>
  <si>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</si>
  <si>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</si>
  <si>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</si>
  <si>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</si>
  <si>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</si>
  <si>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</si>
  <si>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</si>
  <si>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</si>
  <si>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</si>
  <si>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</si>
  <si>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</si>
  <si>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</si>
  <si>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</si>
  <si>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</si>
  <si>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</si>
  <si>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</si>
  <si>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</si>
  <si>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</si>
  <si>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</si>
  <si>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</si>
  <si>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</si>
  <si>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</si>
  <si>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</si>
  <si>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</si>
  <si>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</si>
  <si>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</si>
  <si>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</si>
  <si>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</si>
  <si>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</si>
  <si>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</si>
  <si>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</si>
  <si>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</si>
  <si>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</si>
  <si>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</si>
  <si>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</si>
  <si>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</si>
  <si>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</si>
  <si>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</si>
  <si>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</si>
  <si>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</si>
  <si>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</si>
  <si>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</si>
  <si>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</si>
  <si>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</si>
  <si>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</si>
  <si>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</si>
  <si>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</si>
  <si>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</si>
  <si>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</si>
  <si>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</si>
  <si>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</si>
  <si>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</si>
  <si>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</si>
  <si>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6M 2024</t>
  </si>
  <si>
    <t>2Q 2024</t>
  </si>
  <si>
    <t>Administration expenses</t>
  </si>
  <si>
    <t>POLICYHOLDERS</t>
  </si>
  <si>
    <t>9M 2024</t>
  </si>
  <si>
    <t>3Q 2024</t>
  </si>
  <si>
    <t>12M 2024</t>
  </si>
  <si>
    <t>4Q 2024</t>
  </si>
  <si>
    <t>3M 2025</t>
  </si>
  <si>
    <t>1Q 2025</t>
  </si>
  <si>
    <t>Liability for incurred claims (LIC, gross and ceded)</t>
  </si>
  <si>
    <t>6M 2025</t>
  </si>
  <si>
    <t>2Q 2025</t>
  </si>
  <si>
    <r>
      <t>COMBINED RATIO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</si>
  <si>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</si>
  <si>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3Q 2025</t>
  </si>
  <si>
    <t>12M 2025</t>
  </si>
  <si>
    <t>4Q 2025</t>
  </si>
  <si>
    <t>3M 2026</t>
  </si>
  <si>
    <t>1. LIC discounted to the risk-free curve. The effect of discounting in the movement of the curve is accounted for in equity (+1.5 million euro as of March 2026)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</si>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</sst>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82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6" fontId="9" fillId="0" borderId="2" xfId="1" applyNumberFormat="1" applyFont="1" applyFill="1" applyBorder="1" applyAlignment="1">
      <alignment horizontal="center" vertical="center"/>
    </xf>
    <xf numFmtId="3" fontId="9" fillId="4" borderId="8" xfId="1" applyNumberFormat="1" applyFont="1" applyFill="1" applyBorder="1" applyAlignment="1">
      <alignment vertical="center"/>
    </xf>
    <xf numFmtId="3" fontId="13" fillId="4" borderId="8" xfId="1" applyNumberFormat="1" applyFont="1" applyFill="1" applyBorder="1" applyAlignment="1">
      <alignment vertical="center"/>
    </xf>
    <xf numFmtId="0" fontId="12" fillId="4" borderId="1" xfId="1" applyNumberFormat="1" applyFont="1" applyFill="1" applyBorder="1" applyAlignment="1">
      <alignment horizontal="right" vertical="center"/>
    </xf>
    <xf numFmtId="164" fontId="13" fillId="4" borderId="0" xfId="2" applyNumberFormat="1" applyFont="1" applyFill="1" applyBorder="1" applyAlignment="1">
      <alignment horizontal="right" vertical="center"/>
    </xf>
    <xf numFmtId="164" fontId="9" fillId="4" borderId="2" xfId="2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657225</xdr:colOff>
      <xdr:row>28</xdr:row>
      <xdr:rowOff>19050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D3B1143-0259-028E-FA62-F5E8810C0D08}"/>
            </a:ext>
          </a:extLst>
        </xdr:cNvPr>
        <xdr:cNvGrpSpPr/>
      </xdr:nvGrpSpPr>
      <xdr:grpSpPr>
        <a:xfrm>
          <a:off x="0" y="0"/>
          <a:ext cx="6191250" cy="4695825"/>
          <a:chOff x="0" y="0"/>
          <a:chExt cx="6191250" cy="4695825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2FF0099B-7961-04B5-CA31-CD9E99E8FA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679" r="16807"/>
          <a:stretch>
            <a:fillRect/>
          </a:stretch>
        </xdr:blipFill>
        <xdr:spPr bwMode="auto">
          <a:xfrm>
            <a:off x="0" y="0"/>
            <a:ext cx="6124575" cy="46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F22D962F-F95F-7B5F-EC7F-3C8532D62983}"/>
              </a:ext>
            </a:extLst>
          </xdr:cNvPr>
          <xdr:cNvSpPr/>
        </xdr:nvSpPr>
        <xdr:spPr>
          <a:xfrm>
            <a:off x="0" y="0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114300</xdr:colOff>
      <xdr:row>5</xdr:row>
      <xdr:rowOff>129636</xdr:rowOff>
    </xdr:from>
    <xdr:to>
      <xdr:col>3</xdr:col>
      <xdr:colOff>121920</xdr:colOff>
      <xdr:row>11</xdr:row>
      <xdr:rowOff>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0345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123825</xdr:colOff>
      <xdr:row>11</xdr:row>
      <xdr:rowOff>17146</xdr:rowOff>
    </xdr:from>
    <xdr:to>
      <xdr:col>3</xdr:col>
      <xdr:colOff>66675</xdr:colOff>
      <xdr:row>13</xdr:row>
      <xdr:rowOff>85725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23825" y="1969771"/>
          <a:ext cx="222885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March 2026 Results</a:t>
          </a:r>
        </a:p>
      </xdr:txBody>
    </xdr:sp>
    <xdr:clientData/>
  </xdr:twoCellAnchor>
  <xdr:twoCellAnchor>
    <xdr:from>
      <xdr:col>0</xdr:col>
      <xdr:colOff>85725</xdr:colOff>
      <xdr:row>21</xdr:row>
      <xdr:rowOff>76200</xdr:rowOff>
    </xdr:from>
    <xdr:to>
      <xdr:col>2</xdr:col>
      <xdr:colOff>437198</xdr:colOff>
      <xdr:row>27</xdr:row>
      <xdr:rowOff>3756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D2C688C-E6D1-4506-A7CC-1AEB206EC016}"/>
            </a:ext>
          </a:extLst>
        </xdr:cNvPr>
        <xdr:cNvGrpSpPr/>
      </xdr:nvGrpSpPr>
      <xdr:grpSpPr>
        <a:xfrm>
          <a:off x="85725" y="3829050"/>
          <a:ext cx="1875473" cy="756231"/>
          <a:chOff x="76200" y="3829050"/>
          <a:chExt cx="1875473" cy="756231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B7E369A-6D0D-FE6E-5713-DAF8EC2EF7C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12" name="Gráfico 22">
            <a:extLst>
              <a:ext uri="{FF2B5EF4-FFF2-40B4-BE49-F238E27FC236}">
                <a16:creationId xmlns:a16="http://schemas.microsoft.com/office/drawing/2014/main" id="{31CE4801-1F9C-7D96-A104-F1626C45A54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10</xdr:row>
      <xdr:rowOff>19050</xdr:rowOff>
    </xdr:from>
    <xdr:to>
      <xdr:col>8</xdr:col>
      <xdr:colOff>589598</xdr:colOff>
      <xdr:row>14</xdr:row>
      <xdr:rowOff>13281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4C6F39B-0748-41D4-9E85-11CC9E692DBD}"/>
            </a:ext>
          </a:extLst>
        </xdr:cNvPr>
        <xdr:cNvGrpSpPr/>
      </xdr:nvGrpSpPr>
      <xdr:grpSpPr>
        <a:xfrm>
          <a:off x="4295775" y="1924050"/>
          <a:ext cx="1875473" cy="756231"/>
          <a:chOff x="76200" y="3829050"/>
          <a:chExt cx="1875473" cy="75623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AE989DF-EFAF-6F6C-E713-509C3D0B62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EBF3D090-23AC-0329-C66B-651119D9EDC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238125</xdr:colOff>
      <xdr:row>6</xdr:row>
      <xdr:rowOff>57150</xdr:rowOff>
    </xdr:from>
    <xdr:to>
      <xdr:col>9</xdr:col>
      <xdr:colOff>19049</xdr:colOff>
      <xdr:row>8</xdr:row>
      <xdr:rowOff>181417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C6094B-DAE4-4CDD-8857-A323972D8AD2}"/>
            </a:ext>
          </a:extLst>
        </xdr:cNvPr>
        <xdr:cNvSpPr/>
      </xdr:nvSpPr>
      <xdr:spPr>
        <a:xfrm>
          <a:off x="238125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85725</xdr:rowOff>
    </xdr:from>
    <xdr:to>
      <xdr:col>8</xdr:col>
      <xdr:colOff>276224</xdr:colOff>
      <xdr:row>9</xdr:row>
      <xdr:rowOff>19492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DD667B7-77BB-474E-8705-57D2CDDD5928}"/>
            </a:ext>
          </a:extLst>
        </xdr:cNvPr>
        <xdr:cNvSpPr/>
      </xdr:nvSpPr>
      <xdr:spPr>
        <a:xfrm>
          <a:off x="247650" y="1228725"/>
          <a:ext cx="561022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>
    <xdr:from>
      <xdr:col>5</xdr:col>
      <xdr:colOff>381000</xdr:colOff>
      <xdr:row>10</xdr:row>
      <xdr:rowOff>9525</xdr:rowOff>
    </xdr:from>
    <xdr:to>
      <xdr:col>7</xdr:col>
      <xdr:colOff>732473</xdr:colOff>
      <xdr:row>14</xdr:row>
      <xdr:rowOff>3756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536F61F-83DB-4DA7-95C1-58E93E7560F0}"/>
            </a:ext>
          </a:extLst>
        </xdr:cNvPr>
        <xdr:cNvGrpSpPr/>
      </xdr:nvGrpSpPr>
      <xdr:grpSpPr>
        <a:xfrm>
          <a:off x="3676650" y="1914525"/>
          <a:ext cx="1875473" cy="756231"/>
          <a:chOff x="76200" y="3829050"/>
          <a:chExt cx="1875473" cy="75623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B36B3BA-C569-91CB-82CB-B7B57D6475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3C394E9E-3A78-4CF2-72B1-0AA6982F4E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34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7" width="12.42578125" style="2" customWidth="1"/>
    <col min="8" max="8" width="10.42578125" style="2" customWidth="1"/>
    <col min="9" max="9" width="36.140625" style="10" bestFit="1" customWidth="1"/>
    <col min="10" max="16384" width="11.42578125" style="2"/>
  </cols>
  <sheetData>
    <row r="1" spans="9:9" ht="18.75" customHeight="1" x14ac:dyDescent="0.2">
      <c r="I1" s="1" t="s">
        <v>32</v>
      </c>
    </row>
    <row r="2" spans="9:9" ht="7.5" customHeight="1" x14ac:dyDescent="0.2">
      <c r="I2" s="3"/>
    </row>
    <row r="3" spans="9:9" ht="15" customHeight="1" x14ac:dyDescent="0.2">
      <c r="I3" s="4" t="s">
        <v>30</v>
      </c>
    </row>
    <row r="4" spans="9:9" ht="15" customHeight="1" x14ac:dyDescent="0.2">
      <c r="I4" s="5" t="s">
        <v>33</v>
      </c>
    </row>
    <row r="5" spans="9:9" ht="15" customHeight="1" x14ac:dyDescent="0.2">
      <c r="I5" s="5" t="s">
        <v>34</v>
      </c>
    </row>
    <row r="6" spans="9:9" ht="15" customHeight="1" x14ac:dyDescent="0.2">
      <c r="I6" s="5" t="s">
        <v>35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36</v>
      </c>
    </row>
    <row r="9" spans="9:9" ht="15" customHeight="1" x14ac:dyDescent="0.2">
      <c r="I9" s="6" t="s">
        <v>37</v>
      </c>
    </row>
    <row r="10" spans="9:9" ht="15" customHeight="1" x14ac:dyDescent="0.2">
      <c r="I10" s="6" t="s">
        <v>38</v>
      </c>
    </row>
    <row r="11" spans="9:9" ht="7.5" customHeight="1" x14ac:dyDescent="0.2">
      <c r="I11" s="3"/>
    </row>
    <row r="12" spans="9:9" ht="15" customHeight="1" x14ac:dyDescent="0.2">
      <c r="I12" s="4" t="s">
        <v>31</v>
      </c>
    </row>
    <row r="13" spans="9:9" ht="15" customHeight="1" x14ac:dyDescent="0.2">
      <c r="I13" s="5" t="s">
        <v>191</v>
      </c>
    </row>
    <row r="14" spans="9:9" ht="15" customHeight="1" x14ac:dyDescent="0.2">
      <c r="I14" s="5" t="s">
        <v>34</v>
      </c>
    </row>
    <row r="15" spans="9:9" ht="15" customHeight="1" x14ac:dyDescent="0.2">
      <c r="I15" s="5" t="s">
        <v>35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36</v>
      </c>
    </row>
    <row r="18" spans="1:9" ht="15" customHeight="1" x14ac:dyDescent="0.2">
      <c r="I18" s="6" t="s">
        <v>37</v>
      </c>
    </row>
    <row r="19" spans="1:9" ht="15" customHeight="1" x14ac:dyDescent="0.2">
      <c r="I19" s="6" t="s">
        <v>38</v>
      </c>
    </row>
    <row r="20" spans="1:9" ht="7.5" customHeight="1" x14ac:dyDescent="0.2">
      <c r="I20" s="3"/>
    </row>
    <row r="21" spans="1:9" x14ac:dyDescent="0.2">
      <c r="I21" s="7" t="s">
        <v>203</v>
      </c>
    </row>
    <row r="22" spans="1:9" ht="7.5" customHeight="1" x14ac:dyDescent="0.2">
      <c r="I22" s="3"/>
    </row>
    <row r="23" spans="1:9" x14ac:dyDescent="0.2">
      <c r="I23" s="7" t="s">
        <v>168</v>
      </c>
    </row>
    <row r="24" spans="1:9" ht="7.5" customHeight="1" x14ac:dyDescent="0.2">
      <c r="I24" s="3"/>
    </row>
    <row r="25" spans="1:9" x14ac:dyDescent="0.2">
      <c r="I25" s="4" t="s">
        <v>39</v>
      </c>
    </row>
    <row r="26" spans="1:9" ht="7.5" customHeight="1" x14ac:dyDescent="0.2">
      <c r="I26" s="4"/>
    </row>
    <row r="27" spans="1:9" x14ac:dyDescent="0.2">
      <c r="I27" s="4" t="s">
        <v>40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  <row r="33" spans="3:8" ht="15" x14ac:dyDescent="0.25">
      <c r="C33"/>
      <c r="D33"/>
      <c r="E33"/>
    </row>
    <row r="34" spans="3:8" ht="15" x14ac:dyDescent="0.25">
      <c r="G34"/>
      <c r="H34"/>
    </row>
  </sheetData>
  <hyperlinks>
    <hyperlink ref="I4" location="'BS - IFRS 17&amp;9'!A1" display="Balance sheet" xr:uid="{FE2BEE06-75C7-458B-8E29-1B6FC9F4F468}"/>
    <hyperlink ref="I5" location="'P&amp;L - IFRS 17&amp;9'!A1" display="P&amp;L" xr:uid="{8C6665BE-6ED0-43FA-91AF-EBEDC746B0DA}"/>
    <hyperlink ref="I6" location="'LoB - IFRS 17&amp;9'!A1" display="Business lines" xr:uid="{E70D77EB-26A1-41E1-AB47-54ADE5E3CC66}"/>
    <hyperlink ref="I8" location="'Home - IFRS 17&amp;9'!A1" display="Home" xr:uid="{AB5156D6-EA76-429A-BBDD-3B3C1DC45395}"/>
    <hyperlink ref="I9" location="'Health - IFRS 17&amp;9'!A1" display="Health" xr:uid="{F029259D-3D98-4A75-8E82-F7BA2FDA8A97}"/>
    <hyperlink ref="I10" location="'Other - IFRS 17&amp;9'!A1" display="Other" xr:uid="{E00B0154-20B2-4BDE-9A31-EDF9564A2FB3}"/>
    <hyperlink ref="I25" location="Investments!A1" display="Investments" xr:uid="{B737B1AA-133E-49F4-B9D1-C05F75064CE0}"/>
    <hyperlink ref="I27" location="SII!A1" display="Solvency" xr:uid="{008650B0-7C88-4A41-8497-3E1E93E0CC5E}"/>
    <hyperlink ref="I7" location="'Motor - IFRS 17&amp;9'!A1" display="Motor" xr:uid="{FE9C15AC-4688-4226-814C-BEE32E925A47}"/>
    <hyperlink ref="I14" location="'P&amp;L - IFRS 4'!A1" display="P&amp;L" xr:uid="{A2E814B9-2EB9-465F-8ECB-28DCD336A81C}"/>
    <hyperlink ref="I15" location="'LoB - IFRS 4'!A1" display="Business lines" xr:uid="{11689757-B3F6-428C-8D60-3BF86FFD9A3E}"/>
    <hyperlink ref="I16" location="'Motor - IFRS 4'!A1" display="Motor" xr:uid="{1A20652F-C454-4CB8-9EAD-5D022499294E}"/>
    <hyperlink ref="I17" location="'Home - IFRS 4'!A1" display="Home" xr:uid="{19B8343C-592B-415F-8EF4-E6C9ED2D6CCA}"/>
    <hyperlink ref="I18" location="'Health  - IFRS 4'!A1" display="Health" xr:uid="{2B6417BA-6DEC-4F58-9516-F1461FF09303}"/>
    <hyperlink ref="I19" location="'Other - IFRS 4'!A1" display="Other" xr:uid="{6DAAA5AE-A4DB-426E-82AA-10860501E1AD}"/>
    <hyperlink ref="I23" location="'Combined Ratio'!A1" display="Combined ratio (IFRS4 - IFRS17)" xr:uid="{84D4C074-227F-4495-9743-F1BAA4ECEDD0}"/>
    <hyperlink ref="I13" location="'BS - IFRS 4'!A1" display="Balance" xr:uid="{6E5B6813-F6E8-4660-99F1-34CE3F3149FC}"/>
    <hyperlink ref="I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2A176E09-0472-4593-BDB8-CFE0AED5B9C0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2" width="13.28515625" style="13" customWidth="1"/>
    <col min="13" max="13" width="13.140625" style="13" customWidth="1"/>
    <col min="14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32</v>
      </c>
      <c r="D2" s="14" t="s">
        <v>192</v>
      </c>
      <c r="E2" s="15"/>
      <c r="F2" s="15"/>
      <c r="G2" s="15"/>
      <c r="H2" s="15"/>
      <c r="I2" s="15"/>
      <c r="J2" s="15"/>
      <c r="K2" s="15"/>
      <c r="L2" s="15"/>
      <c r="M2" s="15"/>
    </row>
    <row r="3" spans="2:13" x14ac:dyDescent="0.25">
      <c r="D3" s="161"/>
      <c r="E3" s="161"/>
      <c r="F3" s="161"/>
      <c r="G3" s="161"/>
      <c r="H3" s="161"/>
      <c r="I3" s="161"/>
      <c r="J3" s="161"/>
      <c r="K3" s="161"/>
      <c r="L3" s="161"/>
    </row>
    <row r="4" spans="2:13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218</v>
      </c>
      <c r="L4" s="35" t="s">
        <v>228</v>
      </c>
      <c r="M4" s="36" t="s">
        <v>230</v>
      </c>
    </row>
    <row r="5" spans="2:13" x14ac:dyDescent="0.25">
      <c r="B5" s="162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6">
        <v>16709.437029999997</v>
      </c>
      <c r="L5" s="56">
        <v>16988.248589999996</v>
      </c>
      <c r="M5" s="57">
        <v>20570.588059999995</v>
      </c>
    </row>
    <row r="6" spans="2:13" x14ac:dyDescent="0.25">
      <c r="B6" s="162"/>
      <c r="D6" s="48" t="s">
        <v>198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6">
        <f t="shared" ref="K6:L6" si="1">SUM(K7:K8)</f>
        <v>975943.3824</v>
      </c>
      <c r="L6" s="56">
        <f t="shared" si="1"/>
        <v>1135671.70148</v>
      </c>
      <c r="M6" s="57">
        <f t="shared" ref="M6" si="2">SUM(M7:M8)</f>
        <v>1150975.37885</v>
      </c>
    </row>
    <row r="7" spans="2:13" x14ac:dyDescent="0.25">
      <c r="B7" s="162"/>
      <c r="D7" s="22" t="s">
        <v>193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6">
        <v>132793.37106999999</v>
      </c>
      <c r="L7" s="56">
        <v>143357.26788999999</v>
      </c>
      <c r="M7" s="57">
        <v>136356.1679</v>
      </c>
    </row>
    <row r="8" spans="2:13" x14ac:dyDescent="0.25">
      <c r="B8" s="162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6">
        <v>843150.01133000001</v>
      </c>
      <c r="L8" s="56">
        <v>992314.43359000003</v>
      </c>
      <c r="M8" s="57">
        <v>1014619.21095</v>
      </c>
    </row>
    <row r="9" spans="2:13" x14ac:dyDescent="0.25">
      <c r="B9" s="162"/>
      <c r="D9" s="48" t="s">
        <v>199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6">
        <v>136255.52967000008</v>
      </c>
      <c r="L9" s="56">
        <v>125542.70918000001</v>
      </c>
      <c r="M9" s="57">
        <v>139744.67600000001</v>
      </c>
    </row>
    <row r="10" spans="2:13" x14ac:dyDescent="0.25">
      <c r="B10" s="162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6">
        <v>4332.0596699999996</v>
      </c>
      <c r="L10" s="56">
        <v>4950.49136</v>
      </c>
      <c r="M10" s="57">
        <v>0</v>
      </c>
    </row>
    <row r="11" spans="2:13" x14ac:dyDescent="0.25">
      <c r="B11" s="162"/>
      <c r="D11" s="48" t="s">
        <v>200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6">
        <v>31001.792169999993</v>
      </c>
      <c r="L11" s="56">
        <v>27210.009479999997</v>
      </c>
      <c r="M11" s="57">
        <v>32971.16158</v>
      </c>
    </row>
    <row r="12" spans="2:13" x14ac:dyDescent="0.25">
      <c r="B12" s="162"/>
      <c r="D12" s="48" t="s">
        <v>81</v>
      </c>
      <c r="E12" s="56">
        <f t="shared" ref="E12:L12" si="3">SUM(E13:E14)</f>
        <v>110844</v>
      </c>
      <c r="F12" s="56">
        <f t="shared" si="3"/>
        <v>114588</v>
      </c>
      <c r="G12" s="56">
        <f t="shared" si="3"/>
        <v>111282</v>
      </c>
      <c r="H12" s="56">
        <f t="shared" si="3"/>
        <v>110721</v>
      </c>
      <c r="I12" s="56">
        <f t="shared" si="3"/>
        <v>110044</v>
      </c>
      <c r="J12" s="56">
        <f t="shared" si="3"/>
        <v>101601</v>
      </c>
      <c r="K12" s="56">
        <f t="shared" si="3"/>
        <v>100806.45402999999</v>
      </c>
      <c r="L12" s="56">
        <f t="shared" si="3"/>
        <v>103414.21927</v>
      </c>
      <c r="M12" s="57">
        <f t="shared" ref="M12" si="4">SUM(M13:M14)</f>
        <v>103222.62662</v>
      </c>
    </row>
    <row r="13" spans="2:13" x14ac:dyDescent="0.25">
      <c r="B13" s="162"/>
      <c r="D13" s="22" t="s">
        <v>194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6">
        <v>42353.970540000002</v>
      </c>
      <c r="L13" s="56">
        <v>42474.095370000003</v>
      </c>
      <c r="M13" s="57">
        <v>41838.522009999986</v>
      </c>
    </row>
    <row r="14" spans="2:13" x14ac:dyDescent="0.25">
      <c r="B14" s="162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6">
        <v>58452.483489999991</v>
      </c>
      <c r="L14" s="56">
        <v>60940.123899999991</v>
      </c>
      <c r="M14" s="57">
        <v>61384.104610000002</v>
      </c>
    </row>
    <row r="15" spans="2:13" x14ac:dyDescent="0.25">
      <c r="B15" s="162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6">
        <v>44392.16951</v>
      </c>
      <c r="L15" s="56">
        <v>51778.396279999994</v>
      </c>
      <c r="M15" s="57">
        <v>53054.343999999997</v>
      </c>
    </row>
    <row r="16" spans="2:13" ht="15" thickBot="1" x14ac:dyDescent="0.3">
      <c r="B16" s="162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6">
        <v>115359.34513000002</v>
      </c>
      <c r="L16" s="56">
        <v>121579.36747000003</v>
      </c>
      <c r="M16" s="57">
        <v>141648.01228999998</v>
      </c>
    </row>
    <row r="17" spans="2:13" ht="15" thickBot="1" x14ac:dyDescent="0.3">
      <c r="B17" s="162"/>
      <c r="D17" s="164" t="s">
        <v>86</v>
      </c>
      <c r="E17" s="43">
        <f>SUM(E5,E6,E9,E11,E12,E15,E16)</f>
        <v>1300749</v>
      </c>
      <c r="F17" s="43">
        <f t="shared" ref="F17:H17" si="5">SUM(F5,F6,F9,F11,F12,F15,F16)</f>
        <v>1336626</v>
      </c>
      <c r="G17" s="43">
        <f t="shared" si="5"/>
        <v>1436533</v>
      </c>
      <c r="H17" s="43">
        <f t="shared" si="5"/>
        <v>1368478</v>
      </c>
      <c r="I17" s="43">
        <f>SUM(I5,I6,I9,I11,I12,I15,I16,I10)</f>
        <v>1195415</v>
      </c>
      <c r="J17" s="43">
        <f>SUM(J5,J6,J9,J11,J12,J15,J16,J10)</f>
        <v>1311573</v>
      </c>
      <c r="K17" s="43">
        <f>SUM(K5,K6,K9,K11,K12,K15,K16,K10)</f>
        <v>1424800.1696100002</v>
      </c>
      <c r="L17" s="43">
        <f>SUM(L5,L6,L9,L11,L12,L15,L16,L10)</f>
        <v>1587135.1431100001</v>
      </c>
      <c r="M17" s="44">
        <f>SUM(M5,M6,M9,M11,M12,M15,M16,M10)</f>
        <v>1642186.7874</v>
      </c>
    </row>
    <row r="18" spans="2:13" s="10" customFormat="1" ht="9" customHeight="1" x14ac:dyDescent="0.25">
      <c r="B18" s="163"/>
      <c r="D18" s="33"/>
      <c r="E18" s="45"/>
      <c r="F18" s="45"/>
      <c r="G18" s="45"/>
      <c r="H18" s="45"/>
      <c r="I18" s="45"/>
      <c r="J18" s="45"/>
      <c r="K18" s="45"/>
      <c r="L18" s="45"/>
      <c r="M18" s="45"/>
    </row>
    <row r="19" spans="2:13" s="10" customFormat="1" x14ac:dyDescent="0.25">
      <c r="B19" s="163"/>
      <c r="D19" s="19"/>
      <c r="E19" s="81"/>
      <c r="F19" s="81"/>
      <c r="G19" s="81"/>
      <c r="J19" s="27"/>
      <c r="K19" s="27"/>
      <c r="L19" s="27"/>
      <c r="M19" s="27" t="s">
        <v>46</v>
      </c>
    </row>
    <row r="20" spans="2:13" x14ac:dyDescent="0.25">
      <c r="B20" s="162"/>
      <c r="D20" s="46"/>
      <c r="E20" s="85"/>
      <c r="F20" s="85"/>
      <c r="G20" s="85"/>
      <c r="H20" s="85"/>
      <c r="I20" s="85"/>
      <c r="J20" s="85"/>
      <c r="K20" s="85"/>
      <c r="L20" s="85"/>
    </row>
    <row r="21" spans="2:13" x14ac:dyDescent="0.25">
      <c r="B21" s="162"/>
    </row>
    <row r="22" spans="2:13" ht="15" thickBot="1" x14ac:dyDescent="0.3">
      <c r="B22" s="162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5" t="s">
        <v>218</v>
      </c>
      <c r="L22" s="35" t="s">
        <v>228</v>
      </c>
      <c r="M22" s="36" t="s">
        <v>230</v>
      </c>
    </row>
    <row r="23" spans="2:13" x14ac:dyDescent="0.25">
      <c r="B23" s="162"/>
      <c r="D23" s="48" t="s">
        <v>201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6">
        <v>74142.605620000002</v>
      </c>
      <c r="L23" s="56">
        <v>69849.896529999984</v>
      </c>
      <c r="M23" s="57">
        <v>80968.102639999997</v>
      </c>
    </row>
    <row r="24" spans="2:13" x14ac:dyDescent="0.25">
      <c r="B24" s="162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6">
        <v>0</v>
      </c>
      <c r="L24" s="56">
        <v>0</v>
      </c>
      <c r="M24" s="57">
        <v>0</v>
      </c>
    </row>
    <row r="25" spans="2:13" x14ac:dyDescent="0.25">
      <c r="B25" s="162"/>
      <c r="D25" s="48" t="s">
        <v>202</v>
      </c>
      <c r="E25" s="56">
        <f t="shared" ref="E25:L25" si="6">SUM(E26:E28)</f>
        <v>725891</v>
      </c>
      <c r="F25" s="56">
        <f t="shared" si="6"/>
        <v>725860</v>
      </c>
      <c r="G25" s="56">
        <f t="shared" si="6"/>
        <v>716491</v>
      </c>
      <c r="H25" s="56">
        <f t="shared" si="6"/>
        <v>738158</v>
      </c>
      <c r="I25" s="56">
        <f t="shared" si="6"/>
        <v>791040</v>
      </c>
      <c r="J25" s="56">
        <f t="shared" si="6"/>
        <v>891048</v>
      </c>
      <c r="K25" s="56">
        <f t="shared" si="6"/>
        <v>948452.2378</v>
      </c>
      <c r="L25" s="56">
        <f t="shared" si="6"/>
        <v>1056239.4789</v>
      </c>
      <c r="M25" s="57">
        <f t="shared" ref="M25" si="7">SUM(M26:M28)</f>
        <v>1080337.34369</v>
      </c>
    </row>
    <row r="26" spans="2:13" x14ac:dyDescent="0.25">
      <c r="B26" s="162"/>
      <c r="D26" s="22" t="s">
        <v>195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6">
        <v>511601.34339999995</v>
      </c>
      <c r="L26" s="56">
        <v>568824.39526999998</v>
      </c>
      <c r="M26" s="57">
        <v>588421.65625999996</v>
      </c>
    </row>
    <row r="27" spans="2:13" x14ac:dyDescent="0.25">
      <c r="B27" s="162"/>
      <c r="D27" s="22" t="s">
        <v>196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6">
        <v>2608.4227400000004</v>
      </c>
      <c r="L27" s="56">
        <v>1778.4197799999999</v>
      </c>
      <c r="M27" s="57">
        <v>1778.4197799999999</v>
      </c>
    </row>
    <row r="28" spans="2:13" x14ac:dyDescent="0.25">
      <c r="B28" s="162"/>
      <c r="D28" s="22" t="s">
        <v>197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6">
        <v>434242.4716600001</v>
      </c>
      <c r="L28" s="56">
        <v>485636.66385000007</v>
      </c>
      <c r="M28" s="57">
        <v>490137.26764999994</v>
      </c>
    </row>
    <row r="29" spans="2:13" x14ac:dyDescent="0.25">
      <c r="B29" s="162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6">
        <v>32733.706910000001</v>
      </c>
      <c r="L29" s="56">
        <v>44476.989630000004</v>
      </c>
      <c r="M29" s="57">
        <v>43238.471640000003</v>
      </c>
    </row>
    <row r="30" spans="2:13" ht="15" thickBot="1" x14ac:dyDescent="0.3">
      <c r="B30" s="162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6">
        <v>24614.495559999996</v>
      </c>
      <c r="L30" s="56">
        <v>31397.157480000002</v>
      </c>
      <c r="M30" s="57">
        <v>36042.700750000004</v>
      </c>
    </row>
    <row r="31" spans="2:13" ht="15" thickBot="1" x14ac:dyDescent="0.3">
      <c r="D31" s="164" t="s">
        <v>94</v>
      </c>
      <c r="E31" s="59">
        <f t="shared" ref="E31:F31" si="8">SUM(E30,E29,E25,E24,E23)</f>
        <v>1012545</v>
      </c>
      <c r="F31" s="59">
        <f t="shared" si="8"/>
        <v>1011566</v>
      </c>
      <c r="G31" s="59">
        <f>SUM(G30,G29,G25,G24,G23)</f>
        <v>969174</v>
      </c>
      <c r="H31" s="59">
        <f t="shared" ref="H31:L31" si="9">SUM(H30,H29,H25,H24,H23)</f>
        <v>990203</v>
      </c>
      <c r="I31" s="59">
        <f t="shared" si="9"/>
        <v>904915</v>
      </c>
      <c r="J31" s="59">
        <f t="shared" si="9"/>
        <v>1010267</v>
      </c>
      <c r="K31" s="59">
        <f t="shared" si="9"/>
        <v>1079943.04589</v>
      </c>
      <c r="L31" s="59">
        <f t="shared" si="9"/>
        <v>1201963.52254</v>
      </c>
      <c r="M31" s="60">
        <f t="shared" ref="M31" si="10">SUM(M30,M29,M25,M24,M23)</f>
        <v>1240586.6187199999</v>
      </c>
    </row>
    <row r="32" spans="2:13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6">
        <v>342444.70166999864</v>
      </c>
      <c r="L32" s="56">
        <v>376902.55315831315</v>
      </c>
      <c r="M32" s="57">
        <v>402239.50467644725</v>
      </c>
    </row>
    <row r="33" spans="4:13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6">
        <v>2412.422050000001</v>
      </c>
      <c r="L33" s="56">
        <v>8269.0630600000004</v>
      </c>
      <c r="M33" s="57">
        <v>-639.33598999999663</v>
      </c>
    </row>
    <row r="34" spans="4:13" ht="15" thickBot="1" x14ac:dyDescent="0.3">
      <c r="D34" s="164" t="s">
        <v>99</v>
      </c>
      <c r="E34" s="59">
        <f t="shared" ref="E34:F34" si="11">SUM(E32:E33)</f>
        <v>288204</v>
      </c>
      <c r="F34" s="59">
        <f t="shared" si="11"/>
        <v>325060</v>
      </c>
      <c r="G34" s="59">
        <f>SUM(G32:G33)</f>
        <v>467359</v>
      </c>
      <c r="H34" s="59">
        <f t="shared" ref="H34:L34" si="12">SUM(H32:H33)</f>
        <v>378275</v>
      </c>
      <c r="I34" s="59">
        <f t="shared" si="12"/>
        <v>290500</v>
      </c>
      <c r="J34" s="59">
        <f t="shared" si="12"/>
        <v>301306</v>
      </c>
      <c r="K34" s="59">
        <f t="shared" si="12"/>
        <v>344857.12371999864</v>
      </c>
      <c r="L34" s="59">
        <f t="shared" si="12"/>
        <v>385171.61621831317</v>
      </c>
      <c r="M34" s="60">
        <f t="shared" ref="M34" si="13">SUM(M32:M33)</f>
        <v>401600.16868644726</v>
      </c>
    </row>
    <row r="35" spans="4:13" ht="15" thickBot="1" x14ac:dyDescent="0.3">
      <c r="D35" s="164" t="s">
        <v>100</v>
      </c>
      <c r="E35" s="59">
        <f t="shared" ref="E35:L35" si="14">E34+E31</f>
        <v>1300749</v>
      </c>
      <c r="F35" s="59">
        <f t="shared" si="14"/>
        <v>1336626</v>
      </c>
      <c r="G35" s="59">
        <f t="shared" si="14"/>
        <v>1436533</v>
      </c>
      <c r="H35" s="59">
        <f t="shared" si="14"/>
        <v>1368478</v>
      </c>
      <c r="I35" s="59">
        <f t="shared" si="14"/>
        <v>1195415</v>
      </c>
      <c r="J35" s="59">
        <f t="shared" si="14"/>
        <v>1311573</v>
      </c>
      <c r="K35" s="59">
        <f t="shared" si="14"/>
        <v>1424800.1696099986</v>
      </c>
      <c r="L35" s="59">
        <f t="shared" si="14"/>
        <v>1587135.1387583131</v>
      </c>
      <c r="M35" s="60">
        <f t="shared" ref="M35" si="15">M34+M31</f>
        <v>1642186.7874064471</v>
      </c>
    </row>
    <row r="36" spans="4:13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  <c r="L36" s="45"/>
      <c r="M36" s="45"/>
    </row>
    <row r="37" spans="4:13" s="10" customFormat="1" x14ac:dyDescent="0.25">
      <c r="D37" s="19"/>
      <c r="E37" s="81"/>
      <c r="F37" s="81"/>
      <c r="G37" s="81"/>
      <c r="J37" s="27"/>
      <c r="K37" s="27"/>
      <c r="L37" s="27"/>
      <c r="M37" s="27" t="s">
        <v>46</v>
      </c>
    </row>
    <row r="38" spans="4:13" x14ac:dyDescent="0.25">
      <c r="D38" s="46"/>
      <c r="E38" s="85"/>
      <c r="F38" s="85"/>
      <c r="G38" s="85"/>
      <c r="H38" s="85"/>
      <c r="I38" s="85"/>
      <c r="J38" s="85"/>
      <c r="K38" s="85"/>
      <c r="L38" s="85"/>
    </row>
  </sheetData>
  <conditionalFormatting sqref="E39:M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6:I6 E20:I21 E19:I19 E25:I25 E22:I22 E12:I12 E7:I11 E18:I18 E13:I16 E23:I24 E17:I17 J18 J20:J21 J6:J17 J22:J25 J19 K6:K25 L6:L12 L25 M6:M3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BC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hidden="1" customWidth="1" outlineLevel="1"/>
    <col min="24" max="25" width="13.28515625" style="13" hidden="1" customWidth="1" outlineLevel="1" collapsed="1"/>
    <col min="26" max="26" width="13.28515625" style="13" customWidth="1" collapsed="1"/>
    <col min="27" max="27" width="13.28515625" style="13" customWidth="1"/>
    <col min="28" max="29" width="13.28515625" style="13" hidden="1" customWidth="1" outlineLevel="1"/>
    <col min="30" max="30" width="13.28515625" style="13" customWidth="1" collapsed="1"/>
    <col min="31" max="31" width="13.28515625" style="13" customWidth="1"/>
    <col min="32" max="32" width="3" style="13" customWidth="1"/>
    <col min="33" max="16384" width="11.42578125" style="13"/>
  </cols>
  <sheetData>
    <row r="1" spans="2:55" ht="16.5" customHeight="1" x14ac:dyDescent="0.25"/>
    <row r="2" spans="2:55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44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2:55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2:55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188</v>
      </c>
      <c r="X4" s="35" t="s">
        <v>212</v>
      </c>
      <c r="Y4" s="35" t="s">
        <v>216</v>
      </c>
      <c r="Z4" s="35" t="s">
        <v>218</v>
      </c>
      <c r="AA4" s="35" t="s">
        <v>220</v>
      </c>
      <c r="AB4" s="35" t="s">
        <v>223</v>
      </c>
      <c r="AC4" s="35" t="s">
        <v>226</v>
      </c>
      <c r="AD4" s="35" t="s">
        <v>228</v>
      </c>
      <c r="AE4" s="36" t="s">
        <v>230</v>
      </c>
      <c r="AG4" s="35" t="s">
        <v>110</v>
      </c>
      <c r="AH4" s="35" t="s">
        <v>111</v>
      </c>
      <c r="AI4" s="35" t="s">
        <v>112</v>
      </c>
      <c r="AJ4" s="35" t="s">
        <v>113</v>
      </c>
      <c r="AK4" s="35" t="s">
        <v>114</v>
      </c>
      <c r="AL4" s="35" t="s">
        <v>115</v>
      </c>
      <c r="AM4" s="35" t="s">
        <v>116</v>
      </c>
      <c r="AN4" s="35" t="s">
        <v>117</v>
      </c>
      <c r="AO4" s="35" t="s">
        <v>118</v>
      </c>
      <c r="AP4" s="35" t="s">
        <v>119</v>
      </c>
      <c r="AQ4" s="35" t="s">
        <v>62</v>
      </c>
      <c r="AR4" s="35" t="s">
        <v>63</v>
      </c>
      <c r="AS4" s="35" t="s">
        <v>64</v>
      </c>
      <c r="AT4" s="35" t="s">
        <v>65</v>
      </c>
      <c r="AU4" s="35" t="s">
        <v>189</v>
      </c>
      <c r="AV4" s="35" t="s">
        <v>213</v>
      </c>
      <c r="AW4" s="35" t="s">
        <v>217</v>
      </c>
      <c r="AX4" s="35" t="s">
        <v>219</v>
      </c>
      <c r="AY4" s="35" t="s">
        <v>221</v>
      </c>
      <c r="AZ4" s="35" t="s">
        <v>224</v>
      </c>
      <c r="BA4" s="35" t="s">
        <v>227</v>
      </c>
      <c r="BB4" s="35" t="s">
        <v>229</v>
      </c>
      <c r="BC4" s="36" t="s">
        <v>232</v>
      </c>
    </row>
    <row r="5" spans="2:55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7">
        <v>757629.10199999996</v>
      </c>
      <c r="Z5" s="37">
        <v>1019605.5245000002</v>
      </c>
      <c r="AA5" s="37">
        <v>275197.83357000002</v>
      </c>
      <c r="AB5" s="37">
        <v>558218.53495</v>
      </c>
      <c r="AC5" s="37">
        <v>843814.41700000002</v>
      </c>
      <c r="AD5" s="37">
        <v>1134669.5550399998</v>
      </c>
      <c r="AE5" s="38">
        <v>303228.85716000007</v>
      </c>
      <c r="AG5" s="37">
        <f t="shared" ref="AG5:AG18" si="0">I5-H5</f>
        <v>223146.76400999993</v>
      </c>
      <c r="AH5" s="37">
        <f t="shared" ref="AH5:AH18" si="1">J5-I5</f>
        <v>223557.23599000007</v>
      </c>
      <c r="AI5" s="37">
        <f t="shared" ref="AI5:AI18" si="2">K5</f>
        <v>224068</v>
      </c>
      <c r="AJ5" s="37">
        <f t="shared" ref="AJ5:AJ18" si="3">L5-K5</f>
        <v>232397</v>
      </c>
      <c r="AK5" s="37">
        <f t="shared" ref="AK5:AK18" si="4">M5-L5</f>
        <v>226172.5491399999</v>
      </c>
      <c r="AL5" s="37">
        <f t="shared" ref="AL5:AL18" si="5">N5-M5</f>
        <v>224551.4508600001</v>
      </c>
      <c r="AM5" s="37">
        <f t="shared" ref="AM5:AM18" si="6">O5</f>
        <v>232005</v>
      </c>
      <c r="AN5" s="37">
        <f t="shared" ref="AN5:AN18" si="7">P5-O5</f>
        <v>242784</v>
      </c>
      <c r="AO5" s="37">
        <f t="shared" ref="AO5:AO18" si="8">Q5-P5</f>
        <v>235912</v>
      </c>
      <c r="AP5" s="37">
        <f t="shared" ref="AP5:AP18" si="9">R5-Q5</f>
        <v>235978</v>
      </c>
      <c r="AQ5" s="37">
        <f t="shared" ref="AQ5:AQ18" si="10">S5</f>
        <v>244211</v>
      </c>
      <c r="AR5" s="37">
        <f t="shared" ref="AR5:AR18" si="11">T5-S5</f>
        <v>247737</v>
      </c>
      <c r="AS5" s="37">
        <f t="shared" ref="AS5:AS18" si="12">U5-T5</f>
        <v>239999</v>
      </c>
      <c r="AT5" s="37">
        <f t="shared" ref="AT5:AT18" si="13">V5-U5</f>
        <v>241334</v>
      </c>
      <c r="AU5" s="37">
        <f t="shared" ref="AU5:AU18" si="14">W5</f>
        <v>251419.17102000001</v>
      </c>
      <c r="AV5" s="37">
        <f t="shared" ref="AV5:AV18" si="15">X5-W5</f>
        <v>252480.40486000001</v>
      </c>
      <c r="AW5" s="37">
        <f t="shared" ref="AW5:AW18" si="16">Y5-X5</f>
        <v>253729.52611999994</v>
      </c>
      <c r="AX5" s="37">
        <f t="shared" ref="AX5:AX18" si="17">Z5-Y5</f>
        <v>261976.42250000022</v>
      </c>
      <c r="AY5" s="37">
        <f t="shared" ref="AY5:AY18" si="18">AA5</f>
        <v>275197.83357000002</v>
      </c>
      <c r="AZ5" s="37">
        <f t="shared" ref="AZ5:AZ18" si="19">AB5-AA5</f>
        <v>283020.70137999998</v>
      </c>
      <c r="BA5" s="37">
        <f t="shared" ref="BA5:BA18" si="20">AC5-AB5</f>
        <v>285595.88205000001</v>
      </c>
      <c r="BB5" s="37">
        <f t="shared" ref="BB5:BB18" si="21">AD5-AC5</f>
        <v>290855.13803999976</v>
      </c>
      <c r="BC5" s="38">
        <f t="shared" ref="BC5:BC18" si="22">AE5</f>
        <v>303228.85716000007</v>
      </c>
    </row>
    <row r="6" spans="2:55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7">
        <v>718880.30748000019</v>
      </c>
      <c r="Z6" s="37">
        <v>967414.76609999978</v>
      </c>
      <c r="AA6" s="37">
        <v>248170.08552000014</v>
      </c>
      <c r="AB6" s="37">
        <v>505704.70578000002</v>
      </c>
      <c r="AC6" s="37">
        <v>774151.20213999972</v>
      </c>
      <c r="AD6" s="37">
        <v>1050570.2638400001</v>
      </c>
      <c r="AE6" s="38">
        <v>275725.66668999998</v>
      </c>
      <c r="AG6" s="37">
        <f t="shared" si="0"/>
        <v>219826.95956999995</v>
      </c>
      <c r="AH6" s="37">
        <f t="shared" si="1"/>
        <v>223950.04043000005</v>
      </c>
      <c r="AI6" s="37">
        <f t="shared" si="2"/>
        <v>216386</v>
      </c>
      <c r="AJ6" s="37">
        <f t="shared" si="3"/>
        <v>219607</v>
      </c>
      <c r="AK6" s="37">
        <f t="shared" si="4"/>
        <v>222539.16795000026</v>
      </c>
      <c r="AL6" s="37">
        <f t="shared" si="5"/>
        <v>224195.83204999974</v>
      </c>
      <c r="AM6" s="37">
        <f t="shared" si="6"/>
        <v>218616</v>
      </c>
      <c r="AN6" s="37">
        <f t="shared" si="7"/>
        <v>223123</v>
      </c>
      <c r="AO6" s="37">
        <f t="shared" si="8"/>
        <v>228058</v>
      </c>
      <c r="AP6" s="37">
        <f t="shared" si="9"/>
        <v>230850</v>
      </c>
      <c r="AQ6" s="37">
        <f t="shared" si="10"/>
        <v>228677</v>
      </c>
      <c r="AR6" s="37">
        <f t="shared" si="11"/>
        <v>233339</v>
      </c>
      <c r="AS6" s="37">
        <f t="shared" si="12"/>
        <v>236824</v>
      </c>
      <c r="AT6" s="37">
        <f t="shared" si="13"/>
        <v>237777</v>
      </c>
      <c r="AU6" s="37">
        <f t="shared" si="14"/>
        <v>236347.83805999998</v>
      </c>
      <c r="AV6" s="37">
        <f t="shared" si="15"/>
        <v>238258.60887000017</v>
      </c>
      <c r="AW6" s="37">
        <f t="shared" si="16"/>
        <v>244273.86055000004</v>
      </c>
      <c r="AX6" s="37">
        <f t="shared" si="17"/>
        <v>248534.45861999958</v>
      </c>
      <c r="AY6" s="37">
        <f t="shared" si="18"/>
        <v>248170.08552000014</v>
      </c>
      <c r="AZ6" s="37">
        <f t="shared" si="19"/>
        <v>257534.62025999988</v>
      </c>
      <c r="BA6" s="37">
        <f t="shared" si="20"/>
        <v>268446.4963599997</v>
      </c>
      <c r="BB6" s="37">
        <f t="shared" si="21"/>
        <v>276419.06170000043</v>
      </c>
      <c r="BC6" s="38">
        <f t="shared" si="22"/>
        <v>275725.66668999998</v>
      </c>
    </row>
    <row r="7" spans="2:55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0">
        <v>-554215.12421547156</v>
      </c>
      <c r="Z7" s="40">
        <v>-742012.25944283791</v>
      </c>
      <c r="AA7" s="40">
        <v>-183473.12925735419</v>
      </c>
      <c r="AB7" s="40">
        <v>-374845.41095111275</v>
      </c>
      <c r="AC7" s="40">
        <v>-583754.8074769146</v>
      </c>
      <c r="AD7" s="40">
        <v>-790151.87327955256</v>
      </c>
      <c r="AE7" s="41">
        <v>-207986.92074229516</v>
      </c>
      <c r="AG7" s="40">
        <f t="shared" si="0"/>
        <v>-124497.66815101047</v>
      </c>
      <c r="AH7" s="40">
        <f t="shared" si="1"/>
        <v>-135942.33184898953</v>
      </c>
      <c r="AI7" s="40">
        <f t="shared" si="2"/>
        <v>-142364</v>
      </c>
      <c r="AJ7" s="40">
        <f t="shared" si="3"/>
        <v>-142521</v>
      </c>
      <c r="AK7" s="40">
        <f t="shared" si="4"/>
        <v>-149320.32618606143</v>
      </c>
      <c r="AL7" s="40">
        <f t="shared" si="5"/>
        <v>-163614.67381393857</v>
      </c>
      <c r="AM7" s="40">
        <f t="shared" si="6"/>
        <v>-151164</v>
      </c>
      <c r="AN7" s="40">
        <f t="shared" si="7"/>
        <v>-159054</v>
      </c>
      <c r="AO7" s="40">
        <f t="shared" si="8"/>
        <v>-177596</v>
      </c>
      <c r="AP7" s="40">
        <f t="shared" si="9"/>
        <v>-193686</v>
      </c>
      <c r="AQ7" s="40">
        <f t="shared" si="10"/>
        <v>-197357</v>
      </c>
      <c r="AR7" s="40">
        <f t="shared" si="11"/>
        <v>-213244</v>
      </c>
      <c r="AS7" s="40">
        <f t="shared" si="12"/>
        <v>-199576</v>
      </c>
      <c r="AT7" s="40">
        <f t="shared" si="13"/>
        <v>-190764</v>
      </c>
      <c r="AU7" s="40">
        <f t="shared" si="14"/>
        <v>-186438.76728735544</v>
      </c>
      <c r="AV7" s="40">
        <f t="shared" si="15"/>
        <v>-179884.92321224156</v>
      </c>
      <c r="AW7" s="40">
        <f t="shared" si="16"/>
        <v>-187891.43371587456</v>
      </c>
      <c r="AX7" s="40">
        <f t="shared" si="17"/>
        <v>-187797.13522736635</v>
      </c>
      <c r="AY7" s="40">
        <f t="shared" si="18"/>
        <v>-183473.12925735419</v>
      </c>
      <c r="AZ7" s="40">
        <f t="shared" si="19"/>
        <v>-191372.28169375856</v>
      </c>
      <c r="BA7" s="40">
        <f t="shared" si="20"/>
        <v>-208909.39652580186</v>
      </c>
      <c r="BB7" s="40">
        <f t="shared" si="21"/>
        <v>-206397.06580263795</v>
      </c>
      <c r="BC7" s="41">
        <f t="shared" si="22"/>
        <v>-207986.92074229516</v>
      </c>
    </row>
    <row r="8" spans="2:55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0">
        <v>-154689.35989595007</v>
      </c>
      <c r="Z8" s="40">
        <v>-208155.93586808836</v>
      </c>
      <c r="AA8" s="40">
        <v>-50206.064033653369</v>
      </c>
      <c r="AB8" s="40">
        <v>-103913.88390177239</v>
      </c>
      <c r="AC8" s="40">
        <v>-158889.0028869829</v>
      </c>
      <c r="AD8" s="40">
        <v>-215287.22997508268</v>
      </c>
      <c r="AE8" s="41">
        <v>-50864.607829624721</v>
      </c>
      <c r="AG8" s="40">
        <f t="shared" si="0"/>
        <v>-53227.635301129922</v>
      </c>
      <c r="AH8" s="40">
        <f t="shared" si="1"/>
        <v>-55010.364698870078</v>
      </c>
      <c r="AI8" s="40">
        <f t="shared" si="2"/>
        <v>-46564</v>
      </c>
      <c r="AJ8" s="40">
        <f t="shared" si="3"/>
        <v>-50921</v>
      </c>
      <c r="AK8" s="40">
        <f t="shared" si="4"/>
        <v>-52321.460068214947</v>
      </c>
      <c r="AL8" s="40">
        <f t="shared" si="5"/>
        <v>-53651.539931785053</v>
      </c>
      <c r="AM8" s="40">
        <f t="shared" si="6"/>
        <v>-45654</v>
      </c>
      <c r="AN8" s="40">
        <f t="shared" si="7"/>
        <v>-48625</v>
      </c>
      <c r="AO8" s="40">
        <f t="shared" si="8"/>
        <v>-52177</v>
      </c>
      <c r="AP8" s="40">
        <f t="shared" si="9"/>
        <v>-55726</v>
      </c>
      <c r="AQ8" s="40">
        <f t="shared" si="10"/>
        <v>-50440</v>
      </c>
      <c r="AR8" s="40">
        <f t="shared" si="11"/>
        <v>-49376</v>
      </c>
      <c r="AS8" s="40">
        <f t="shared" si="12"/>
        <v>-52300</v>
      </c>
      <c r="AT8" s="40">
        <f t="shared" si="13"/>
        <v>-56293</v>
      </c>
      <c r="AU8" s="40">
        <f t="shared" si="14"/>
        <v>-51554.057656968936</v>
      </c>
      <c r="AV8" s="40">
        <f t="shared" si="15"/>
        <v>-51054.783309768849</v>
      </c>
      <c r="AW8" s="40">
        <f t="shared" si="16"/>
        <v>-52080.518929212281</v>
      </c>
      <c r="AX8" s="40">
        <f t="shared" si="17"/>
        <v>-53466.575972138293</v>
      </c>
      <c r="AY8" s="40">
        <f t="shared" si="18"/>
        <v>-50206.064033653369</v>
      </c>
      <c r="AZ8" s="40">
        <f t="shared" si="19"/>
        <v>-53707.819868119026</v>
      </c>
      <c r="BA8" s="40">
        <f t="shared" si="20"/>
        <v>-54975.118985210502</v>
      </c>
      <c r="BB8" s="40">
        <f t="shared" si="21"/>
        <v>-56398.227088099782</v>
      </c>
      <c r="BC8" s="41">
        <f t="shared" si="22"/>
        <v>-50864.607829624721</v>
      </c>
    </row>
    <row r="9" spans="2:55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0">
        <v>16710.303029999992</v>
      </c>
      <c r="Z9" s="40">
        <v>22119.449599999996</v>
      </c>
      <c r="AA9" s="40">
        <v>3486.8627300000003</v>
      </c>
      <c r="AB9" s="40">
        <v>8394.0037300000004</v>
      </c>
      <c r="AC9" s="40">
        <v>13930.597289999998</v>
      </c>
      <c r="AD9" s="40">
        <v>20636.751189999995</v>
      </c>
      <c r="AE9" s="41">
        <v>4780.8793200000009</v>
      </c>
      <c r="AG9" s="40">
        <f t="shared" si="0"/>
        <v>5428.2037300000029</v>
      </c>
      <c r="AH9" s="40">
        <f t="shared" si="1"/>
        <v>3377.7962699999971</v>
      </c>
      <c r="AI9" s="40">
        <f t="shared" si="2"/>
        <v>4086</v>
      </c>
      <c r="AJ9" s="40">
        <f t="shared" si="3"/>
        <v>5430</v>
      </c>
      <c r="AK9" s="40">
        <f t="shared" si="4"/>
        <v>5573.0905199999997</v>
      </c>
      <c r="AL9" s="40">
        <f t="shared" si="5"/>
        <v>7095.9094800000003</v>
      </c>
      <c r="AM9" s="40">
        <f t="shared" si="6"/>
        <v>2310</v>
      </c>
      <c r="AN9" s="40">
        <f t="shared" si="7"/>
        <v>4499</v>
      </c>
      <c r="AO9" s="40">
        <f t="shared" si="8"/>
        <v>5111</v>
      </c>
      <c r="AP9" s="40">
        <f t="shared" si="9"/>
        <v>4465</v>
      </c>
      <c r="AQ9" s="40">
        <f t="shared" si="10"/>
        <v>2314</v>
      </c>
      <c r="AR9" s="40">
        <f t="shared" si="11"/>
        <v>6707</v>
      </c>
      <c r="AS9" s="40">
        <f t="shared" si="12"/>
        <v>6625</v>
      </c>
      <c r="AT9" s="40">
        <f t="shared" si="13"/>
        <v>6055</v>
      </c>
      <c r="AU9" s="40">
        <f t="shared" si="14"/>
        <v>5181.372769999999</v>
      </c>
      <c r="AV9" s="40">
        <f t="shared" si="15"/>
        <v>5656.6068000000023</v>
      </c>
      <c r="AW9" s="40">
        <f t="shared" si="16"/>
        <v>5872.3234599999905</v>
      </c>
      <c r="AX9" s="40">
        <f t="shared" si="17"/>
        <v>5409.1465700000044</v>
      </c>
      <c r="AY9" s="40">
        <f t="shared" si="18"/>
        <v>3486.8627300000003</v>
      </c>
      <c r="AZ9" s="40">
        <f t="shared" si="19"/>
        <v>4907.1409999999996</v>
      </c>
      <c r="BA9" s="40">
        <f t="shared" si="20"/>
        <v>5536.5935599999975</v>
      </c>
      <c r="BB9" s="40">
        <f t="shared" si="21"/>
        <v>6706.1538999999975</v>
      </c>
      <c r="BC9" s="41">
        <f t="shared" si="22"/>
        <v>4780.8793200000009</v>
      </c>
    </row>
    <row r="10" spans="2:55" x14ac:dyDescent="0.25">
      <c r="B10" s="10"/>
      <c r="D10" s="33" t="s">
        <v>56</v>
      </c>
      <c r="E10" s="37">
        <f t="shared" ref="E10:I10" si="23">SUM(E6:E9)</f>
        <v>117812</v>
      </c>
      <c r="F10" s="37">
        <f>SUM(F6:F9)</f>
        <v>80667.798297736299</v>
      </c>
      <c r="G10" s="37">
        <f t="shared" si="23"/>
        <v>103650</v>
      </c>
      <c r="H10" s="37">
        <f t="shared" si="23"/>
        <v>62034</v>
      </c>
      <c r="I10" s="37">
        <f t="shared" si="23"/>
        <v>109563.85984785957</v>
      </c>
      <c r="J10" s="37">
        <f t="shared" ref="J10:Q10" si="24">SUM(J6:J9)</f>
        <v>145939</v>
      </c>
      <c r="K10" s="37">
        <f t="shared" si="24"/>
        <v>31544</v>
      </c>
      <c r="L10" s="37">
        <f t="shared" si="24"/>
        <v>63139</v>
      </c>
      <c r="M10" s="37">
        <f t="shared" si="24"/>
        <v>89609.472215723887</v>
      </c>
      <c r="N10" s="37">
        <f t="shared" si="24"/>
        <v>103635</v>
      </c>
      <c r="O10" s="37">
        <f t="shared" si="24"/>
        <v>24108</v>
      </c>
      <c r="P10" s="37">
        <v>44051</v>
      </c>
      <c r="Q10" s="37">
        <f t="shared" si="24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AD10" si="25">SUM(V6:V9)</f>
        <v>-51032</v>
      </c>
      <c r="W10" s="37">
        <f t="shared" si="25"/>
        <v>3536.3858856756024</v>
      </c>
      <c r="X10" s="37">
        <f t="shared" si="25"/>
        <v>16511.895033665372</v>
      </c>
      <c r="Y10" s="37">
        <f t="shared" si="25"/>
        <v>26686.126398578559</v>
      </c>
      <c r="Z10" s="37">
        <f t="shared" si="25"/>
        <v>39366.020389073499</v>
      </c>
      <c r="AA10" s="37">
        <f t="shared" si="25"/>
        <v>17977.754958992584</v>
      </c>
      <c r="AB10" s="37">
        <f t="shared" si="25"/>
        <v>35339.414657114874</v>
      </c>
      <c r="AC10" s="37">
        <f t="shared" si="25"/>
        <v>45437.989066102215</v>
      </c>
      <c r="AD10" s="37">
        <f t="shared" si="25"/>
        <v>65767.911775364904</v>
      </c>
      <c r="AE10" s="38">
        <f t="shared" ref="AE10" si="26">SUM(AE6:AE9)</f>
        <v>21655.017438080104</v>
      </c>
      <c r="AG10" s="37">
        <f t="shared" si="0"/>
        <v>47529.859847859567</v>
      </c>
      <c r="AH10" s="37">
        <f t="shared" si="1"/>
        <v>36375.140152140433</v>
      </c>
      <c r="AI10" s="37">
        <f t="shared" si="2"/>
        <v>31544</v>
      </c>
      <c r="AJ10" s="37">
        <f t="shared" si="3"/>
        <v>31595</v>
      </c>
      <c r="AK10" s="37">
        <f t="shared" si="4"/>
        <v>26470.472215723887</v>
      </c>
      <c r="AL10" s="37">
        <f t="shared" si="5"/>
        <v>14025.527784276113</v>
      </c>
      <c r="AM10" s="37">
        <f t="shared" si="6"/>
        <v>24108</v>
      </c>
      <c r="AN10" s="37">
        <f t="shared" si="7"/>
        <v>19943</v>
      </c>
      <c r="AO10" s="37">
        <f t="shared" si="8"/>
        <v>3396</v>
      </c>
      <c r="AP10" s="37">
        <f t="shared" si="9"/>
        <v>-14097</v>
      </c>
      <c r="AQ10" s="37">
        <f t="shared" si="10"/>
        <v>-16806</v>
      </c>
      <c r="AR10" s="37">
        <f t="shared" si="11"/>
        <v>-22574</v>
      </c>
      <c r="AS10" s="37">
        <f t="shared" si="12"/>
        <v>-8427</v>
      </c>
      <c r="AT10" s="37">
        <f t="shared" si="13"/>
        <v>-3225</v>
      </c>
      <c r="AU10" s="37">
        <f t="shared" si="14"/>
        <v>3536.3858856756024</v>
      </c>
      <c r="AV10" s="37">
        <f t="shared" si="15"/>
        <v>12975.509147989771</v>
      </c>
      <c r="AW10" s="37">
        <f t="shared" si="16"/>
        <v>10174.231364913187</v>
      </c>
      <c r="AX10" s="37">
        <f t="shared" si="17"/>
        <v>12679.89399049494</v>
      </c>
      <c r="AY10" s="37">
        <f t="shared" si="18"/>
        <v>17977.754958992584</v>
      </c>
      <c r="AZ10" s="37">
        <f t="shared" si="19"/>
        <v>17361.65969812229</v>
      </c>
      <c r="BA10" s="37">
        <f t="shared" si="20"/>
        <v>10098.574408987341</v>
      </c>
      <c r="BB10" s="37">
        <f t="shared" si="21"/>
        <v>20329.92270926269</v>
      </c>
      <c r="BC10" s="38">
        <f t="shared" si="22"/>
        <v>21655.017438080104</v>
      </c>
    </row>
    <row r="11" spans="2:55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0">
        <v>39537.960299999999</v>
      </c>
      <c r="Z11" s="40">
        <v>57034.756979999991</v>
      </c>
      <c r="AA11" s="40">
        <v>13359.826939030403</v>
      </c>
      <c r="AB11" s="40">
        <v>28236.59835</v>
      </c>
      <c r="AC11" s="40">
        <v>40682.084959999993</v>
      </c>
      <c r="AD11" s="40">
        <v>52905.826289999997</v>
      </c>
      <c r="AE11" s="41">
        <v>18092.284489999998</v>
      </c>
      <c r="AG11" s="40">
        <f t="shared" si="0"/>
        <v>15683.768469999995</v>
      </c>
      <c r="AH11" s="40">
        <f t="shared" si="1"/>
        <v>25955.231530000005</v>
      </c>
      <c r="AI11" s="40">
        <f t="shared" si="2"/>
        <v>13376</v>
      </c>
      <c r="AJ11" s="40">
        <f t="shared" si="3"/>
        <v>9393</v>
      </c>
      <c r="AK11" s="40">
        <f t="shared" si="4"/>
        <v>16512.246479999987</v>
      </c>
      <c r="AL11" s="40">
        <f t="shared" si="5"/>
        <v>18622.753520000013</v>
      </c>
      <c r="AM11" s="40">
        <f t="shared" si="6"/>
        <v>16337</v>
      </c>
      <c r="AN11" s="40">
        <f t="shared" si="7"/>
        <v>20457</v>
      </c>
      <c r="AO11" s="40">
        <f t="shared" si="8"/>
        <v>14891</v>
      </c>
      <c r="AP11" s="40">
        <f t="shared" si="9"/>
        <v>20721</v>
      </c>
      <c r="AQ11" s="40">
        <f t="shared" si="10"/>
        <v>15432</v>
      </c>
      <c r="AR11" s="40">
        <f t="shared" si="11"/>
        <v>11968</v>
      </c>
      <c r="AS11" s="40">
        <f t="shared" si="12"/>
        <v>11406</v>
      </c>
      <c r="AT11" s="40">
        <f t="shared" si="13"/>
        <v>15359</v>
      </c>
      <c r="AU11" s="40">
        <f t="shared" si="14"/>
        <v>12179.4727</v>
      </c>
      <c r="AV11" s="40">
        <f t="shared" si="15"/>
        <v>14329.875879999998</v>
      </c>
      <c r="AW11" s="40">
        <f t="shared" si="16"/>
        <v>13028.611720000001</v>
      </c>
      <c r="AX11" s="40">
        <f t="shared" si="17"/>
        <v>17496.796679999992</v>
      </c>
      <c r="AY11" s="40">
        <f t="shared" si="18"/>
        <v>13359.826939030403</v>
      </c>
      <c r="AZ11" s="40">
        <f t="shared" si="19"/>
        <v>14876.771410969597</v>
      </c>
      <c r="BA11" s="40">
        <f t="shared" si="20"/>
        <v>12445.486609999993</v>
      </c>
      <c r="BB11" s="40">
        <f t="shared" si="21"/>
        <v>12223.741330000004</v>
      </c>
      <c r="BC11" s="41">
        <f t="shared" si="22"/>
        <v>18092.284489999998</v>
      </c>
    </row>
    <row r="12" spans="2:55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0">
        <v>-12022.111296705387</v>
      </c>
      <c r="Z12" s="40">
        <v>-16939.394658758032</v>
      </c>
      <c r="AA12" s="40">
        <v>-3352.1911435612387</v>
      </c>
      <c r="AB12" s="40">
        <v>-6574.2610345192497</v>
      </c>
      <c r="AC12" s="40">
        <v>-8606.1673035475087</v>
      </c>
      <c r="AD12" s="40">
        <v>-11251.745308607275</v>
      </c>
      <c r="AE12" s="41">
        <v>-6948.6648325250444</v>
      </c>
      <c r="AG12" s="40">
        <f t="shared" si="0"/>
        <v>-10496.553819042852</v>
      </c>
      <c r="AH12" s="40">
        <f t="shared" si="1"/>
        <v>-14931.446180957148</v>
      </c>
      <c r="AI12" s="40">
        <f t="shared" si="2"/>
        <v>-6437</v>
      </c>
      <c r="AJ12" s="40">
        <f t="shared" si="3"/>
        <v>-3537</v>
      </c>
      <c r="AK12" s="40">
        <f t="shared" si="4"/>
        <v>-7199.9319936913198</v>
      </c>
      <c r="AL12" s="40">
        <f t="shared" si="5"/>
        <v>-6069.0680063086802</v>
      </c>
      <c r="AM12" s="40">
        <f t="shared" si="6"/>
        <v>-9589</v>
      </c>
      <c r="AN12" s="40">
        <f t="shared" si="7"/>
        <v>-8825</v>
      </c>
      <c r="AO12" s="40">
        <f t="shared" si="8"/>
        <v>-7248</v>
      </c>
      <c r="AP12" s="40">
        <f t="shared" si="9"/>
        <v>-6971</v>
      </c>
      <c r="AQ12" s="40">
        <f t="shared" si="10"/>
        <v>-6755</v>
      </c>
      <c r="AR12" s="40">
        <f t="shared" si="11"/>
        <v>-3724</v>
      </c>
      <c r="AS12" s="40">
        <f t="shared" si="12"/>
        <v>-3255</v>
      </c>
      <c r="AT12" s="40">
        <f t="shared" si="13"/>
        <v>-6547</v>
      </c>
      <c r="AU12" s="40">
        <f t="shared" si="14"/>
        <v>-3737.6835285988786</v>
      </c>
      <c r="AV12" s="40">
        <f t="shared" si="15"/>
        <v>-4563.9989177261486</v>
      </c>
      <c r="AW12" s="40">
        <f t="shared" si="16"/>
        <v>-3720.42885038036</v>
      </c>
      <c r="AX12" s="40">
        <f t="shared" si="17"/>
        <v>-4917.2833620526453</v>
      </c>
      <c r="AY12" s="40">
        <f t="shared" si="18"/>
        <v>-3352.1911435612387</v>
      </c>
      <c r="AZ12" s="40">
        <f t="shared" si="19"/>
        <v>-3222.069890958011</v>
      </c>
      <c r="BA12" s="40">
        <f t="shared" si="20"/>
        <v>-2031.906269028259</v>
      </c>
      <c r="BB12" s="40">
        <f t="shared" si="21"/>
        <v>-2645.5780050597659</v>
      </c>
      <c r="BC12" s="41">
        <f t="shared" si="22"/>
        <v>-6948.6648325250444</v>
      </c>
    </row>
    <row r="13" spans="2:55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27">SUM(G11:G12)</f>
        <v>31570</v>
      </c>
      <c r="H13" s="37">
        <f t="shared" si="27"/>
        <v>13042</v>
      </c>
      <c r="I13" s="37">
        <f t="shared" si="27"/>
        <v>18229.214650957143</v>
      </c>
      <c r="J13" s="37">
        <f t="shared" si="27"/>
        <v>29253</v>
      </c>
      <c r="K13" s="37">
        <f t="shared" si="27"/>
        <v>6939</v>
      </c>
      <c r="L13" s="37">
        <f t="shared" si="27"/>
        <v>12795</v>
      </c>
      <c r="M13" s="37">
        <f t="shared" si="27"/>
        <v>22107.314486308667</v>
      </c>
      <c r="N13" s="37">
        <f t="shared" si="27"/>
        <v>34661</v>
      </c>
      <c r="O13" s="37">
        <f t="shared" si="27"/>
        <v>6748</v>
      </c>
      <c r="P13" s="37">
        <v>18380</v>
      </c>
      <c r="Q13" s="37">
        <f t="shared" si="27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AD13" si="28">SUM(V11:V12)</f>
        <v>33884</v>
      </c>
      <c r="W13" s="37">
        <f t="shared" si="28"/>
        <v>8441.7891714011221</v>
      </c>
      <c r="X13" s="37">
        <f t="shared" si="28"/>
        <v>18207.666133674971</v>
      </c>
      <c r="Y13" s="37">
        <f t="shared" si="28"/>
        <v>27515.849003294614</v>
      </c>
      <c r="Z13" s="37">
        <f t="shared" si="28"/>
        <v>40095.362321241962</v>
      </c>
      <c r="AA13" s="37">
        <f t="shared" si="28"/>
        <v>10007.635795469165</v>
      </c>
      <c r="AB13" s="37">
        <f t="shared" si="28"/>
        <v>21662.337315480749</v>
      </c>
      <c r="AC13" s="37">
        <f t="shared" si="28"/>
        <v>32075.917656452482</v>
      </c>
      <c r="AD13" s="37">
        <f t="shared" si="28"/>
        <v>41654.080981392719</v>
      </c>
      <c r="AE13" s="38">
        <f t="shared" ref="AE13" si="29">SUM(AE11:AE12)</f>
        <v>11143.619657474954</v>
      </c>
      <c r="AG13" s="37">
        <f t="shared" si="0"/>
        <v>5187.214650957143</v>
      </c>
      <c r="AH13" s="37">
        <f t="shared" si="1"/>
        <v>11023.785349042857</v>
      </c>
      <c r="AI13" s="37">
        <f t="shared" si="2"/>
        <v>6939</v>
      </c>
      <c r="AJ13" s="37">
        <f t="shared" si="3"/>
        <v>5856</v>
      </c>
      <c r="AK13" s="37">
        <f t="shared" si="4"/>
        <v>9312.3144863086673</v>
      </c>
      <c r="AL13" s="37">
        <f t="shared" si="5"/>
        <v>12553.685513691333</v>
      </c>
      <c r="AM13" s="37">
        <f t="shared" si="6"/>
        <v>6748</v>
      </c>
      <c r="AN13" s="37">
        <f t="shared" si="7"/>
        <v>11632</v>
      </c>
      <c r="AO13" s="37">
        <f t="shared" si="8"/>
        <v>7643</v>
      </c>
      <c r="AP13" s="37">
        <f t="shared" si="9"/>
        <v>13750</v>
      </c>
      <c r="AQ13" s="37">
        <f t="shared" si="10"/>
        <v>8677</v>
      </c>
      <c r="AR13" s="37">
        <f t="shared" si="11"/>
        <v>8244</v>
      </c>
      <c r="AS13" s="37">
        <f t="shared" si="12"/>
        <v>8151</v>
      </c>
      <c r="AT13" s="37">
        <f t="shared" si="13"/>
        <v>8812</v>
      </c>
      <c r="AU13" s="37">
        <f t="shared" si="14"/>
        <v>8441.7891714011221</v>
      </c>
      <c r="AV13" s="37">
        <f t="shared" si="15"/>
        <v>9765.8769622738491</v>
      </c>
      <c r="AW13" s="37">
        <f t="shared" si="16"/>
        <v>9308.1828696196426</v>
      </c>
      <c r="AX13" s="37">
        <f t="shared" si="17"/>
        <v>12579.513317947349</v>
      </c>
      <c r="AY13" s="37">
        <f t="shared" si="18"/>
        <v>10007.635795469165</v>
      </c>
      <c r="AZ13" s="37">
        <f t="shared" si="19"/>
        <v>11654.701520011584</v>
      </c>
      <c r="BA13" s="37">
        <f t="shared" si="20"/>
        <v>10413.580340971734</v>
      </c>
      <c r="BB13" s="37">
        <f t="shared" si="21"/>
        <v>9578.1633249402366</v>
      </c>
      <c r="BC13" s="38">
        <f t="shared" si="22"/>
        <v>11143.619657474954</v>
      </c>
    </row>
    <row r="14" spans="2:55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30">SUM(G13,G10)</f>
        <v>135220</v>
      </c>
      <c r="H14" s="37">
        <f t="shared" si="30"/>
        <v>75076</v>
      </c>
      <c r="I14" s="37">
        <f t="shared" si="30"/>
        <v>127793.07449881671</v>
      </c>
      <c r="J14" s="37">
        <f t="shared" si="30"/>
        <v>175192</v>
      </c>
      <c r="K14" s="37">
        <f t="shared" si="30"/>
        <v>38483</v>
      </c>
      <c r="L14" s="37">
        <f t="shared" si="30"/>
        <v>75934</v>
      </c>
      <c r="M14" s="37">
        <f t="shared" si="30"/>
        <v>111716.78670203255</v>
      </c>
      <c r="N14" s="37">
        <f t="shared" si="30"/>
        <v>138296</v>
      </c>
      <c r="O14" s="37">
        <f t="shared" si="30"/>
        <v>30856</v>
      </c>
      <c r="P14" s="37">
        <v>62431</v>
      </c>
      <c r="Q14" s="37">
        <f t="shared" si="30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AD14" si="31">SUM(V13,V10)</f>
        <v>-17148</v>
      </c>
      <c r="W14" s="37">
        <f t="shared" si="31"/>
        <v>11978.175057076725</v>
      </c>
      <c r="X14" s="37">
        <f t="shared" si="31"/>
        <v>34719.561167340347</v>
      </c>
      <c r="Y14" s="37">
        <f t="shared" si="31"/>
        <v>54201.975401873176</v>
      </c>
      <c r="Z14" s="37">
        <f t="shared" si="31"/>
        <v>79461.382710315462</v>
      </c>
      <c r="AA14" s="37">
        <f t="shared" si="31"/>
        <v>27985.390754461747</v>
      </c>
      <c r="AB14" s="37">
        <f t="shared" si="31"/>
        <v>57001.751972595623</v>
      </c>
      <c r="AC14" s="37">
        <f t="shared" si="31"/>
        <v>77513.906722554704</v>
      </c>
      <c r="AD14" s="37">
        <f t="shared" si="31"/>
        <v>107421.99275675762</v>
      </c>
      <c r="AE14" s="38">
        <f t="shared" ref="AE14" si="32">SUM(AE13,AE10)</f>
        <v>32798.637095555059</v>
      </c>
      <c r="AG14" s="37">
        <f t="shared" si="0"/>
        <v>52717.074498816713</v>
      </c>
      <c r="AH14" s="37">
        <f t="shared" si="1"/>
        <v>47398.925501183287</v>
      </c>
      <c r="AI14" s="37">
        <f t="shared" si="2"/>
        <v>38483</v>
      </c>
      <c r="AJ14" s="37">
        <f t="shared" si="3"/>
        <v>37451</v>
      </c>
      <c r="AK14" s="37">
        <f t="shared" si="4"/>
        <v>35782.78670203255</v>
      </c>
      <c r="AL14" s="37">
        <f t="shared" si="5"/>
        <v>26579.21329796745</v>
      </c>
      <c r="AM14" s="37">
        <f t="shared" si="6"/>
        <v>30856</v>
      </c>
      <c r="AN14" s="37">
        <f t="shared" si="7"/>
        <v>31575</v>
      </c>
      <c r="AO14" s="37">
        <f t="shared" si="8"/>
        <v>11039</v>
      </c>
      <c r="AP14" s="37">
        <f t="shared" si="9"/>
        <v>-347</v>
      </c>
      <c r="AQ14" s="37">
        <f t="shared" si="10"/>
        <v>-8129</v>
      </c>
      <c r="AR14" s="37">
        <f t="shared" si="11"/>
        <v>-14330</v>
      </c>
      <c r="AS14" s="37">
        <f t="shared" si="12"/>
        <v>-276</v>
      </c>
      <c r="AT14" s="37">
        <f t="shared" si="13"/>
        <v>5587</v>
      </c>
      <c r="AU14" s="37">
        <f t="shared" si="14"/>
        <v>11978.175057076725</v>
      </c>
      <c r="AV14" s="37">
        <f t="shared" si="15"/>
        <v>22741.386110263622</v>
      </c>
      <c r="AW14" s="37">
        <f t="shared" si="16"/>
        <v>19482.414234532829</v>
      </c>
      <c r="AX14" s="37">
        <f t="shared" si="17"/>
        <v>25259.407308442285</v>
      </c>
      <c r="AY14" s="37">
        <f t="shared" si="18"/>
        <v>27985.390754461747</v>
      </c>
      <c r="AZ14" s="37">
        <f t="shared" si="19"/>
        <v>29016.361218133876</v>
      </c>
      <c r="BA14" s="37">
        <f t="shared" si="20"/>
        <v>20512.154749959082</v>
      </c>
      <c r="BB14" s="37">
        <f t="shared" si="21"/>
        <v>29908.086034202919</v>
      </c>
      <c r="BC14" s="38">
        <f t="shared" si="22"/>
        <v>32798.637095555059</v>
      </c>
    </row>
    <row r="15" spans="2:55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0">
        <v>1967.1510756185878</v>
      </c>
      <c r="Z15" s="40">
        <v>2999.8867170728213</v>
      </c>
      <c r="AA15" s="40">
        <v>586.56900137721072</v>
      </c>
      <c r="AB15" s="40">
        <v>1188.5255757727091</v>
      </c>
      <c r="AC15" s="40">
        <v>1750.8100841577655</v>
      </c>
      <c r="AD15" s="40">
        <v>1865.1305415524903</v>
      </c>
      <c r="AE15" s="41">
        <v>704.60104089263018</v>
      </c>
      <c r="AG15" s="40">
        <f t="shared" si="0"/>
        <v>1672.6454408655263</v>
      </c>
      <c r="AH15" s="40">
        <f t="shared" si="1"/>
        <v>-684.64544086552633</v>
      </c>
      <c r="AI15" s="40">
        <f t="shared" si="2"/>
        <v>944</v>
      </c>
      <c r="AJ15" s="40">
        <f t="shared" si="3"/>
        <v>740</v>
      </c>
      <c r="AK15" s="40">
        <f t="shared" si="4"/>
        <v>1676.7093052500841</v>
      </c>
      <c r="AL15" s="40">
        <f t="shared" si="5"/>
        <v>3523.2906947499159</v>
      </c>
      <c r="AM15" s="40">
        <f t="shared" si="6"/>
        <v>1429</v>
      </c>
      <c r="AN15" s="40">
        <f t="shared" si="7"/>
        <v>1391</v>
      </c>
      <c r="AO15" s="40">
        <f t="shared" si="8"/>
        <v>892</v>
      </c>
      <c r="AP15" s="40">
        <f t="shared" si="9"/>
        <v>1923</v>
      </c>
      <c r="AQ15" s="40">
        <f t="shared" si="10"/>
        <v>1083</v>
      </c>
      <c r="AR15" s="40">
        <f t="shared" si="11"/>
        <v>872</v>
      </c>
      <c r="AS15" s="40">
        <f t="shared" si="12"/>
        <v>804</v>
      </c>
      <c r="AT15" s="40">
        <f t="shared" si="13"/>
        <v>583</v>
      </c>
      <c r="AU15" s="40">
        <f t="shared" si="14"/>
        <v>630.0702629234529</v>
      </c>
      <c r="AV15" s="40">
        <f t="shared" si="15"/>
        <v>716.43096868893736</v>
      </c>
      <c r="AW15" s="40">
        <f t="shared" si="16"/>
        <v>620.64984400619755</v>
      </c>
      <c r="AX15" s="40">
        <f t="shared" si="17"/>
        <v>1032.7356414542335</v>
      </c>
      <c r="AY15" s="40">
        <f t="shared" si="18"/>
        <v>586.56900137721072</v>
      </c>
      <c r="AZ15" s="40">
        <f t="shared" si="19"/>
        <v>601.95657439549836</v>
      </c>
      <c r="BA15" s="40">
        <f t="shared" si="20"/>
        <v>562.28450838505637</v>
      </c>
      <c r="BB15" s="40">
        <f t="shared" si="21"/>
        <v>114.32045739472483</v>
      </c>
      <c r="BC15" s="41">
        <f t="shared" si="22"/>
        <v>704.60104089263018</v>
      </c>
    </row>
    <row r="16" spans="2:55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33">SUM(G14:G15)</f>
        <v>142837</v>
      </c>
      <c r="H16" s="37">
        <f t="shared" si="33"/>
        <v>78520</v>
      </c>
      <c r="I16" s="37">
        <f t="shared" si="33"/>
        <v>132909.71993968223</v>
      </c>
      <c r="J16" s="37">
        <f t="shared" si="33"/>
        <v>179624</v>
      </c>
      <c r="K16" s="37">
        <f t="shared" si="33"/>
        <v>39427</v>
      </c>
      <c r="L16" s="37">
        <f t="shared" si="33"/>
        <v>77618</v>
      </c>
      <c r="M16" s="37">
        <f t="shared" si="33"/>
        <v>115077.49600728264</v>
      </c>
      <c r="N16" s="37">
        <f t="shared" si="33"/>
        <v>145180</v>
      </c>
      <c r="O16" s="37">
        <f t="shared" si="33"/>
        <v>32285</v>
      </c>
      <c r="P16" s="37">
        <v>65251</v>
      </c>
      <c r="Q16" s="37">
        <f t="shared" si="33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AD16" si="34">SUM(V14:V15)</f>
        <v>-13806</v>
      </c>
      <c r="W16" s="37">
        <f t="shared" si="34"/>
        <v>12608.245320000178</v>
      </c>
      <c r="X16" s="37">
        <f t="shared" si="34"/>
        <v>36066.062398952738</v>
      </c>
      <c r="Y16" s="37">
        <f t="shared" si="34"/>
        <v>56169.126477491765</v>
      </c>
      <c r="Z16" s="37">
        <f t="shared" si="34"/>
        <v>82461.269427388281</v>
      </c>
      <c r="AA16" s="37">
        <f t="shared" si="34"/>
        <v>28571.959755838958</v>
      </c>
      <c r="AB16" s="37">
        <f t="shared" si="34"/>
        <v>58190.277548368329</v>
      </c>
      <c r="AC16" s="37">
        <f t="shared" si="34"/>
        <v>79264.716806712473</v>
      </c>
      <c r="AD16" s="37">
        <f t="shared" si="34"/>
        <v>109287.12329831011</v>
      </c>
      <c r="AE16" s="38">
        <f t="shared" ref="AE16" si="35">SUM(AE14:AE15)</f>
        <v>33503.23813644769</v>
      </c>
      <c r="AG16" s="37">
        <f t="shared" si="0"/>
        <v>54389.719939682225</v>
      </c>
      <c r="AH16" s="37">
        <f t="shared" si="1"/>
        <v>46714.280060317775</v>
      </c>
      <c r="AI16" s="37">
        <f t="shared" si="2"/>
        <v>39427</v>
      </c>
      <c r="AJ16" s="37">
        <f t="shared" si="3"/>
        <v>38191</v>
      </c>
      <c r="AK16" s="37">
        <f t="shared" si="4"/>
        <v>37459.496007282636</v>
      </c>
      <c r="AL16" s="37">
        <f t="shared" si="5"/>
        <v>30102.503992717364</v>
      </c>
      <c r="AM16" s="37">
        <f t="shared" si="6"/>
        <v>32285</v>
      </c>
      <c r="AN16" s="37">
        <f t="shared" si="7"/>
        <v>32966</v>
      </c>
      <c r="AO16" s="37">
        <f t="shared" si="8"/>
        <v>11931</v>
      </c>
      <c r="AP16" s="37">
        <f t="shared" si="9"/>
        <v>1576</v>
      </c>
      <c r="AQ16" s="37">
        <f t="shared" si="10"/>
        <v>-7046</v>
      </c>
      <c r="AR16" s="37">
        <f t="shared" si="11"/>
        <v>-13458</v>
      </c>
      <c r="AS16" s="37">
        <f t="shared" si="12"/>
        <v>528</v>
      </c>
      <c r="AT16" s="37">
        <f t="shared" si="13"/>
        <v>6170</v>
      </c>
      <c r="AU16" s="37">
        <f t="shared" si="14"/>
        <v>12608.245320000178</v>
      </c>
      <c r="AV16" s="37">
        <f t="shared" si="15"/>
        <v>23457.817078952561</v>
      </c>
      <c r="AW16" s="37">
        <f t="shared" si="16"/>
        <v>20103.064078539028</v>
      </c>
      <c r="AX16" s="37">
        <f t="shared" si="17"/>
        <v>26292.142949896515</v>
      </c>
      <c r="AY16" s="37">
        <f t="shared" si="18"/>
        <v>28571.959755838958</v>
      </c>
      <c r="AZ16" s="37">
        <f t="shared" si="19"/>
        <v>29618.317792529371</v>
      </c>
      <c r="BA16" s="37">
        <f t="shared" si="20"/>
        <v>21074.439258344144</v>
      </c>
      <c r="BB16" s="37">
        <f t="shared" si="21"/>
        <v>30022.406491597634</v>
      </c>
      <c r="BC16" s="38">
        <f t="shared" si="22"/>
        <v>33503.23813644769</v>
      </c>
    </row>
    <row r="17" spans="2:55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0">
        <v>-13703.136846872898</v>
      </c>
      <c r="Z17" s="40">
        <v>-18881.51850934701</v>
      </c>
      <c r="AA17" s="40">
        <v>-7057.9966022110102</v>
      </c>
      <c r="AB17" s="40">
        <v>-14381.907854592071</v>
      </c>
      <c r="AC17" s="40">
        <v>-19591.749196678164</v>
      </c>
      <c r="AD17" s="40">
        <v>-27213.113499577772</v>
      </c>
      <c r="AE17" s="41">
        <v>-8017.5841566119352</v>
      </c>
      <c r="AG17" s="40">
        <f t="shared" si="0"/>
        <v>-13624.541249920563</v>
      </c>
      <c r="AH17" s="40">
        <f t="shared" si="1"/>
        <v>-11522.458750079437</v>
      </c>
      <c r="AI17" s="40">
        <f t="shared" si="2"/>
        <v>-9827</v>
      </c>
      <c r="AJ17" s="40">
        <f t="shared" si="3"/>
        <v>-9581</v>
      </c>
      <c r="AK17" s="40">
        <f t="shared" si="4"/>
        <v>-9376.250481820487</v>
      </c>
      <c r="AL17" s="40">
        <f t="shared" si="5"/>
        <v>-6258.749518179513</v>
      </c>
      <c r="AM17" s="40">
        <f t="shared" si="6"/>
        <v>-8096</v>
      </c>
      <c r="AN17" s="40">
        <f t="shared" si="7"/>
        <v>-8179</v>
      </c>
      <c r="AO17" s="40">
        <f t="shared" si="8"/>
        <v>-2597</v>
      </c>
      <c r="AP17" s="40">
        <f t="shared" si="9"/>
        <v>-363</v>
      </c>
      <c r="AQ17" s="40">
        <f t="shared" si="10"/>
        <v>1764</v>
      </c>
      <c r="AR17" s="40">
        <f t="shared" si="11"/>
        <v>3181</v>
      </c>
      <c r="AS17" s="40">
        <f t="shared" si="12"/>
        <v>343</v>
      </c>
      <c r="AT17" s="40">
        <f t="shared" si="13"/>
        <v>-1316</v>
      </c>
      <c r="AU17" s="40">
        <f t="shared" si="14"/>
        <v>-3310.0775800000001</v>
      </c>
      <c r="AV17" s="40">
        <f t="shared" si="15"/>
        <v>-6002.3345247382376</v>
      </c>
      <c r="AW17" s="40">
        <f t="shared" si="16"/>
        <v>-4390.7247421346601</v>
      </c>
      <c r="AX17" s="40">
        <f t="shared" si="17"/>
        <v>-5178.3816624741121</v>
      </c>
      <c r="AY17" s="40">
        <f t="shared" si="18"/>
        <v>-7057.9966022110102</v>
      </c>
      <c r="AZ17" s="40">
        <f t="shared" si="19"/>
        <v>-7323.9112523810609</v>
      </c>
      <c r="BA17" s="40">
        <f t="shared" si="20"/>
        <v>-5209.8413420860925</v>
      </c>
      <c r="BB17" s="40">
        <f t="shared" si="21"/>
        <v>-7621.3643028996084</v>
      </c>
      <c r="BC17" s="41">
        <f t="shared" si="22"/>
        <v>-8017.5841566119352</v>
      </c>
    </row>
    <row r="18" spans="2:55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AD18" si="36">SUM(G16:G17)</f>
        <v>107295</v>
      </c>
      <c r="H18" s="43">
        <f t="shared" si="36"/>
        <v>58889</v>
      </c>
      <c r="I18" s="43">
        <f t="shared" si="36"/>
        <v>99654.178689761669</v>
      </c>
      <c r="J18" s="43">
        <f t="shared" si="36"/>
        <v>134846</v>
      </c>
      <c r="K18" s="43">
        <f t="shared" si="36"/>
        <v>29600</v>
      </c>
      <c r="L18" s="43">
        <f t="shared" si="36"/>
        <v>58210</v>
      </c>
      <c r="M18" s="43">
        <f t="shared" si="36"/>
        <v>86293.245525462145</v>
      </c>
      <c r="N18" s="43">
        <f t="shared" si="36"/>
        <v>110137</v>
      </c>
      <c r="O18" s="43">
        <f t="shared" si="36"/>
        <v>24189</v>
      </c>
      <c r="P18" s="43">
        <v>48976</v>
      </c>
      <c r="Q18" s="43">
        <f t="shared" si="36"/>
        <v>58310</v>
      </c>
      <c r="R18" s="43">
        <f t="shared" si="36"/>
        <v>59523</v>
      </c>
      <c r="S18" s="43">
        <f t="shared" si="36"/>
        <v>-5282</v>
      </c>
      <c r="T18" s="43">
        <f t="shared" si="36"/>
        <v>-15559</v>
      </c>
      <c r="U18" s="43">
        <f t="shared" si="36"/>
        <v>-14688</v>
      </c>
      <c r="V18" s="43">
        <f t="shared" si="36"/>
        <v>-9834</v>
      </c>
      <c r="W18" s="43">
        <f t="shared" si="36"/>
        <v>9298.167740000179</v>
      </c>
      <c r="X18" s="43">
        <f t="shared" si="36"/>
        <v>26753.650294214502</v>
      </c>
      <c r="Y18" s="43">
        <f t="shared" si="36"/>
        <v>42465.989630618868</v>
      </c>
      <c r="Z18" s="43">
        <f t="shared" si="36"/>
        <v>63579.750918041274</v>
      </c>
      <c r="AA18" s="43">
        <f t="shared" si="36"/>
        <v>21513.963153627948</v>
      </c>
      <c r="AB18" s="43">
        <f t="shared" si="36"/>
        <v>43808.369693776258</v>
      </c>
      <c r="AC18" s="43">
        <f t="shared" si="36"/>
        <v>59672.967610034306</v>
      </c>
      <c r="AD18" s="43">
        <f t="shared" si="36"/>
        <v>82074.009798732339</v>
      </c>
      <c r="AE18" s="44">
        <f t="shared" ref="AE18" si="37">SUM(AE16:AE17)</f>
        <v>25485.653979835755</v>
      </c>
      <c r="AG18" s="43">
        <f t="shared" si="0"/>
        <v>40765.178689761669</v>
      </c>
      <c r="AH18" s="43">
        <f t="shared" si="1"/>
        <v>35191.821310238331</v>
      </c>
      <c r="AI18" s="43">
        <f t="shared" si="2"/>
        <v>29600</v>
      </c>
      <c r="AJ18" s="43">
        <f t="shared" si="3"/>
        <v>28610</v>
      </c>
      <c r="AK18" s="43">
        <f t="shared" si="4"/>
        <v>28083.245525462145</v>
      </c>
      <c r="AL18" s="43">
        <f t="shared" si="5"/>
        <v>23843.754474537855</v>
      </c>
      <c r="AM18" s="43">
        <f t="shared" si="6"/>
        <v>24189</v>
      </c>
      <c r="AN18" s="43">
        <f t="shared" si="7"/>
        <v>24787</v>
      </c>
      <c r="AO18" s="43">
        <f t="shared" si="8"/>
        <v>9334</v>
      </c>
      <c r="AP18" s="43">
        <f t="shared" si="9"/>
        <v>1213</v>
      </c>
      <c r="AQ18" s="43">
        <f t="shared" si="10"/>
        <v>-5282</v>
      </c>
      <c r="AR18" s="43">
        <f t="shared" si="11"/>
        <v>-10277</v>
      </c>
      <c r="AS18" s="43">
        <f t="shared" si="12"/>
        <v>871</v>
      </c>
      <c r="AT18" s="43">
        <f t="shared" si="13"/>
        <v>4854</v>
      </c>
      <c r="AU18" s="43">
        <f t="shared" si="14"/>
        <v>9298.167740000179</v>
      </c>
      <c r="AV18" s="43">
        <f t="shared" si="15"/>
        <v>17455.482554214323</v>
      </c>
      <c r="AW18" s="43">
        <f t="shared" si="16"/>
        <v>15712.339336404366</v>
      </c>
      <c r="AX18" s="43">
        <f t="shared" si="17"/>
        <v>21113.761287422407</v>
      </c>
      <c r="AY18" s="43">
        <f t="shared" si="18"/>
        <v>21513.963153627948</v>
      </c>
      <c r="AZ18" s="43">
        <f t="shared" si="19"/>
        <v>22294.406540148309</v>
      </c>
      <c r="BA18" s="43">
        <f t="shared" si="20"/>
        <v>15864.597916258048</v>
      </c>
      <c r="BB18" s="43">
        <f t="shared" si="21"/>
        <v>22401.042188698033</v>
      </c>
      <c r="BC18" s="44">
        <f t="shared" si="22"/>
        <v>25485.653979835755</v>
      </c>
    </row>
    <row r="19" spans="2:55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2:55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 t="s">
        <v>46</v>
      </c>
      <c r="AF20" s="27"/>
      <c r="AG20" s="81"/>
      <c r="AH20" s="81"/>
      <c r="AI20" s="81"/>
      <c r="AJ20" s="81"/>
      <c r="AK20" s="81"/>
      <c r="AO20" s="84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 t="s">
        <v>46</v>
      </c>
    </row>
    <row r="21" spans="2:55" x14ac:dyDescent="0.25">
      <c r="D21" s="46"/>
      <c r="G21" s="85"/>
    </row>
    <row r="22" spans="2:55" x14ac:dyDescent="0.25">
      <c r="G22" s="86"/>
    </row>
    <row r="23" spans="2:55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188</v>
      </c>
      <c r="X23" s="47" t="s">
        <v>212</v>
      </c>
      <c r="Y23" s="47" t="s">
        <v>216</v>
      </c>
      <c r="Z23" s="35" t="s">
        <v>218</v>
      </c>
      <c r="AA23" s="35" t="s">
        <v>220</v>
      </c>
      <c r="AB23" s="35" t="s">
        <v>223</v>
      </c>
      <c r="AC23" s="35" t="s">
        <v>226</v>
      </c>
      <c r="AD23" s="35" t="s">
        <v>228</v>
      </c>
      <c r="AE23" s="36" t="s">
        <v>230</v>
      </c>
      <c r="AG23" s="35" t="s">
        <v>110</v>
      </c>
      <c r="AH23" s="35" t="s">
        <v>111</v>
      </c>
      <c r="AI23" s="35" t="s">
        <v>112</v>
      </c>
      <c r="AJ23" s="35" t="s">
        <v>113</v>
      </c>
      <c r="AK23" s="35" t="s">
        <v>114</v>
      </c>
      <c r="AL23" s="35" t="s">
        <v>115</v>
      </c>
      <c r="AM23" s="35" t="s">
        <v>116</v>
      </c>
      <c r="AN23" s="35" t="s">
        <v>117</v>
      </c>
      <c r="AO23" s="35" t="s">
        <v>118</v>
      </c>
      <c r="AP23" s="35" t="s">
        <v>119</v>
      </c>
      <c r="AQ23" s="35" t="s">
        <v>62</v>
      </c>
      <c r="AR23" s="35" t="s">
        <v>63</v>
      </c>
      <c r="AS23" s="35" t="s">
        <v>64</v>
      </c>
      <c r="AT23" s="35" t="s">
        <v>65</v>
      </c>
      <c r="AU23" s="35" t="s">
        <v>189</v>
      </c>
      <c r="AV23" s="35" t="s">
        <v>213</v>
      </c>
      <c r="AW23" s="35" t="s">
        <v>217</v>
      </c>
      <c r="AX23" s="35" t="s">
        <v>219</v>
      </c>
      <c r="AY23" s="35" t="s">
        <v>221</v>
      </c>
      <c r="AZ23" s="35" t="s">
        <v>224</v>
      </c>
      <c r="BA23" s="35" t="s">
        <v>227</v>
      </c>
      <c r="BB23" s="35" t="s">
        <v>229</v>
      </c>
      <c r="BC23" s="36" t="s">
        <v>232</v>
      </c>
    </row>
    <row r="24" spans="2:55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38">-G7/G6</f>
        <v>0.67970616382104021</v>
      </c>
      <c r="H24" s="49">
        <f t="shared" si="38"/>
        <v>0.64370165745856356</v>
      </c>
      <c r="I24" s="49">
        <f t="shared" si="38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39">-L7/L6</f>
        <v>0.65341645393389347</v>
      </c>
      <c r="M24" s="49">
        <f t="shared" si="39"/>
        <v>0.65935325154689928</v>
      </c>
      <c r="N24" s="49">
        <f t="shared" si="39"/>
        <v>0.67724146056316326</v>
      </c>
      <c r="O24" s="49">
        <f t="shared" si="39"/>
        <v>0.69145899659677246</v>
      </c>
      <c r="P24" s="49">
        <f t="shared" si="39"/>
        <v>0.70226536484213531</v>
      </c>
      <c r="Q24" s="49">
        <f t="shared" si="39"/>
        <v>0.72830126142696971</v>
      </c>
      <c r="R24" s="49">
        <f t="shared" si="39"/>
        <v>0.75667825463250304</v>
      </c>
      <c r="S24" s="49">
        <f t="shared" si="39"/>
        <v>0.8630382592040301</v>
      </c>
      <c r="T24" s="49">
        <f t="shared" si="39"/>
        <v>0.88871597520432188</v>
      </c>
      <c r="U24" s="49">
        <f t="shared" si="39"/>
        <v>0.87312832694178921</v>
      </c>
      <c r="V24" s="49">
        <f t="shared" ref="V24:AD24" si="40">-V7/V6</f>
        <v>0.85514249687972776</v>
      </c>
      <c r="W24" s="49">
        <f t="shared" si="40"/>
        <v>0.78883212479407372</v>
      </c>
      <c r="X24" s="49">
        <f t="shared" si="40"/>
        <v>0.77184727023656763</v>
      </c>
      <c r="Y24" s="49">
        <f t="shared" si="40"/>
        <v>0.77094214217418977</v>
      </c>
      <c r="Z24" s="49">
        <f t="shared" si="40"/>
        <v>0.76700530676636125</v>
      </c>
      <c r="AA24" s="49">
        <f t="shared" si="40"/>
        <v>0.73930396918273211</v>
      </c>
      <c r="AB24" s="49">
        <f t="shared" si="40"/>
        <v>0.74123378063676582</v>
      </c>
      <c r="AC24" s="49">
        <f t="shared" si="40"/>
        <v>0.75405787120556167</v>
      </c>
      <c r="AD24" s="49">
        <f t="shared" si="40"/>
        <v>0.75211711246368496</v>
      </c>
      <c r="AE24" s="50">
        <f t="shared" ref="AE24" si="41">-AE7/AE6</f>
        <v>0.75432557019124413</v>
      </c>
      <c r="AG24" s="49">
        <f t="shared" ref="AG24:AO24" si="42">-AG7/AG6</f>
        <v>0.56634394796042486</v>
      </c>
      <c r="AH24" s="49">
        <f t="shared" si="42"/>
        <v>0.60702079619173344</v>
      </c>
      <c r="AI24" s="49">
        <f t="shared" si="42"/>
        <v>0.65791687077722216</v>
      </c>
      <c r="AJ24" s="49">
        <f t="shared" si="42"/>
        <v>0.64898204519892355</v>
      </c>
      <c r="AK24" s="49">
        <f t="shared" si="42"/>
        <v>0.67098447235863878</v>
      </c>
      <c r="AL24" s="49">
        <f t="shared" si="42"/>
        <v>0.72978463657366088</v>
      </c>
      <c r="AM24" s="49">
        <f t="shared" si="42"/>
        <v>0.69145899659677246</v>
      </c>
      <c r="AN24" s="49">
        <f t="shared" si="42"/>
        <v>0.71285344854631749</v>
      </c>
      <c r="AO24" s="49">
        <f t="shared" si="42"/>
        <v>0.77873172613984165</v>
      </c>
      <c r="AP24" s="49">
        <f>-AP7/AP6</f>
        <v>0.83901234567901239</v>
      </c>
      <c r="AQ24" s="49">
        <f>-AQ7/AQ6</f>
        <v>0.8630382592040301</v>
      </c>
      <c r="AR24" s="49">
        <f>-AR7/AR6</f>
        <v>0.91388066289818681</v>
      </c>
      <c r="AS24" s="49">
        <f>-AS7/AS6</f>
        <v>0.84271864338073843</v>
      </c>
      <c r="AT24" s="49">
        <f>-AT7/AT6</f>
        <v>0.80228112895696391</v>
      </c>
      <c r="AU24" s="49">
        <f t="shared" ref="AU24" si="43">-AU7/AU6</f>
        <v>0.78883212479407372</v>
      </c>
      <c r="AV24" s="49">
        <f t="shared" ref="AV24:BB24" si="44">-AV7/AV6</f>
        <v>0.75499862970488196</v>
      </c>
      <c r="AW24" s="49">
        <f t="shared" si="44"/>
        <v>0.76918354380130394</v>
      </c>
      <c r="AX24" s="49">
        <f t="shared" si="44"/>
        <v>0.75561809927733825</v>
      </c>
      <c r="AY24" s="49">
        <f t="shared" si="44"/>
        <v>0.73930396918273211</v>
      </c>
      <c r="AZ24" s="49">
        <f t="shared" si="44"/>
        <v>0.74309341983052357</v>
      </c>
      <c r="BA24" s="49">
        <f t="shared" si="44"/>
        <v>0.77821614123674121</v>
      </c>
      <c r="BB24" s="49">
        <f t="shared" si="44"/>
        <v>0.74668173943315874</v>
      </c>
      <c r="BC24" s="50">
        <f t="shared" ref="BC24" si="45">-BC7/BC6</f>
        <v>0.75432557019124413</v>
      </c>
    </row>
    <row r="25" spans="2:55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46">-(G8+G9)/G6</f>
        <v>0.19903201124991518</v>
      </c>
      <c r="H25" s="49">
        <f t="shared" si="46"/>
        <v>0.21349447513812156</v>
      </c>
      <c r="I25" s="49">
        <f t="shared" si="46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47">-(L8+L9)/L6</f>
        <v>0.20176700084634386</v>
      </c>
      <c r="M25" s="49">
        <f t="shared" si="47"/>
        <v>0.2045721926805609</v>
      </c>
      <c r="N25" s="49">
        <f t="shared" si="47"/>
        <v>0.20535544357944915</v>
      </c>
      <c r="O25" s="49">
        <f t="shared" si="47"/>
        <v>0.19826545175101548</v>
      </c>
      <c r="P25" s="49">
        <f t="shared" si="47"/>
        <v>0.19801285374395289</v>
      </c>
      <c r="Q25" s="49">
        <f t="shared" si="47"/>
        <v>0.20086085784200289</v>
      </c>
      <c r="R25" s="49">
        <f t="shared" si="47"/>
        <v>0.20629280950250209</v>
      </c>
      <c r="S25" s="49">
        <f t="shared" si="47"/>
        <v>0.21045404653725561</v>
      </c>
      <c r="T25" s="49">
        <f t="shared" si="47"/>
        <v>0.19651916816733619</v>
      </c>
      <c r="U25" s="49">
        <f t="shared" si="47"/>
        <v>0.19528075095873162</v>
      </c>
      <c r="V25" s="49">
        <f t="shared" ref="V25:AD25" si="48">-(V8+V9)/V6</f>
        <v>0.19934295448406339</v>
      </c>
      <c r="W25" s="49">
        <f t="shared" si="48"/>
        <v>0.19620524252562285</v>
      </c>
      <c r="X25" s="49">
        <f t="shared" si="48"/>
        <v>0.19336202023878765</v>
      </c>
      <c r="Y25" s="49">
        <f t="shared" si="48"/>
        <v>0.19193606422413897</v>
      </c>
      <c r="Z25" s="49">
        <f t="shared" si="48"/>
        <v>0.19230271522324288</v>
      </c>
      <c r="AA25" s="49">
        <f t="shared" si="48"/>
        <v>0.18825476570135705</v>
      </c>
      <c r="AB25" s="49">
        <f t="shared" si="48"/>
        <v>0.18888469709697941</v>
      </c>
      <c r="AC25" s="49">
        <f t="shared" si="48"/>
        <v>0.18724818252076833</v>
      </c>
      <c r="AD25" s="49">
        <f t="shared" si="48"/>
        <v>0.18528078081479718</v>
      </c>
      <c r="AE25" s="50">
        <f t="shared" ref="AE25" si="49">-(AE8+AE9)/AE6</f>
        <v>0.16713615769922838</v>
      </c>
      <c r="AG25" s="49">
        <f t="shared" ref="AG25:AN25" si="50">-(AG8+AG9)/AG6</f>
        <v>0.21744117129504786</v>
      </c>
      <c r="AH25" s="49">
        <f t="shared" si="50"/>
        <v>0.23055395895321951</v>
      </c>
      <c r="AI25" s="49">
        <f t="shared" si="50"/>
        <v>0.19630660024215985</v>
      </c>
      <c r="AJ25" s="49">
        <f t="shared" si="50"/>
        <v>0.20714731315486301</v>
      </c>
      <c r="AK25" s="49">
        <f t="shared" si="50"/>
        <v>0.21006805219438179</v>
      </c>
      <c r="AL25" s="49">
        <f t="shared" si="50"/>
        <v>0.20765609256019665</v>
      </c>
      <c r="AM25" s="49">
        <f t="shared" si="50"/>
        <v>0.19826545175101548</v>
      </c>
      <c r="AN25" s="49">
        <f t="shared" si="50"/>
        <v>0.1977653581208571</v>
      </c>
      <c r="AO25" s="49">
        <f t="shared" ref="AO25:AU25" si="51">-(AO8+AO9)/AO6</f>
        <v>0.20637732506643047</v>
      </c>
      <c r="AP25" s="49">
        <f t="shared" si="51"/>
        <v>0.22205328135152697</v>
      </c>
      <c r="AQ25" s="49">
        <f t="shared" si="51"/>
        <v>0.21045404653725561</v>
      </c>
      <c r="AR25" s="49">
        <f t="shared" si="51"/>
        <v>0.18286270190581086</v>
      </c>
      <c r="AS25" s="49">
        <f t="shared" si="51"/>
        <v>0.19286474343816504</v>
      </c>
      <c r="AT25" s="49">
        <f t="shared" si="51"/>
        <v>0.21128199952055918</v>
      </c>
      <c r="AU25" s="49">
        <f t="shared" si="51"/>
        <v>0.19620524252562285</v>
      </c>
      <c r="AV25" s="49">
        <f t="shared" ref="AV25:BB25" si="52">-(AV8+AV9)/AV6</f>
        <v>0.19054159984010996</v>
      </c>
      <c r="AW25" s="49">
        <f t="shared" si="52"/>
        <v>0.18916553480250092</v>
      </c>
      <c r="AX25" s="49">
        <f t="shared" si="52"/>
        <v>0.19336324495596968</v>
      </c>
      <c r="AY25" s="49">
        <f t="shared" si="52"/>
        <v>0.18825476570135705</v>
      </c>
      <c r="AZ25" s="49">
        <f t="shared" si="52"/>
        <v>0.18949172277828588</v>
      </c>
      <c r="BA25" s="49">
        <f t="shared" si="52"/>
        <v>0.18416528468641685</v>
      </c>
      <c r="BB25" s="49">
        <f t="shared" si="52"/>
        <v>0.17977079034452026</v>
      </c>
      <c r="BC25" s="50">
        <f t="shared" ref="BC25" si="53">-(BC8+BC9)/BC6</f>
        <v>0.16713615769922838</v>
      </c>
    </row>
    <row r="26" spans="2:55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54">-(G7+G8+G9)/G6</f>
        <v>0.87873817507095542</v>
      </c>
      <c r="H26" s="51">
        <f t="shared" si="54"/>
        <v>0.85719613259668503</v>
      </c>
      <c r="I26" s="51">
        <f t="shared" si="54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55">-(L7+L8+L9)/L6</f>
        <v>0.85518345478023727</v>
      </c>
      <c r="M26" s="51">
        <f t="shared" si="55"/>
        <v>0.8639254442274602</v>
      </c>
      <c r="N26" s="51">
        <f t="shared" si="55"/>
        <v>0.88259690414261249</v>
      </c>
      <c r="O26" s="51">
        <f t="shared" si="55"/>
        <v>0.88972444834778786</v>
      </c>
      <c r="P26" s="51">
        <f t="shared" si="55"/>
        <v>0.90027821858608814</v>
      </c>
      <c r="Q26" s="51">
        <f t="shared" si="55"/>
        <v>0.92916211926897252</v>
      </c>
      <c r="R26" s="51">
        <f t="shared" si="55"/>
        <v>0.96297106413500522</v>
      </c>
      <c r="S26" s="51">
        <f t="shared" si="55"/>
        <v>1.0734923057412857</v>
      </c>
      <c r="T26" s="51">
        <f t="shared" si="55"/>
        <v>1.0852351433716581</v>
      </c>
      <c r="U26" s="51">
        <f t="shared" si="55"/>
        <v>1.0684090779005209</v>
      </c>
      <c r="V26" s="51">
        <f t="shared" ref="V26:AD26" si="56">-(V7+V8+V9)/V6</f>
        <v>1.0544854513637911</v>
      </c>
      <c r="W26" s="51">
        <f t="shared" si="56"/>
        <v>0.98503736731969671</v>
      </c>
      <c r="X26" s="51">
        <f t="shared" si="56"/>
        <v>0.9652092904753552</v>
      </c>
      <c r="Y26" s="51">
        <f t="shared" si="56"/>
        <v>0.96287820639832877</v>
      </c>
      <c r="Z26" s="51">
        <f t="shared" si="56"/>
        <v>0.95930802198960408</v>
      </c>
      <c r="AA26" s="51">
        <f t="shared" si="56"/>
        <v>0.92755873488408913</v>
      </c>
      <c r="AB26" s="51">
        <f t="shared" si="56"/>
        <v>0.93011847773374523</v>
      </c>
      <c r="AC26" s="51">
        <f t="shared" si="56"/>
        <v>0.94130605372633003</v>
      </c>
      <c r="AD26" s="51">
        <f t="shared" si="56"/>
        <v>0.93739789327848211</v>
      </c>
      <c r="AE26" s="52">
        <f t="shared" ref="AE26" si="57">-(AE7+AE8+AE9)/AE6</f>
        <v>0.92146172789047254</v>
      </c>
      <c r="AG26" s="51">
        <f t="shared" ref="AG26:AO26" si="58">-(AG7+AG8+AG9)/AG6</f>
        <v>0.78378511925547267</v>
      </c>
      <c r="AH26" s="51">
        <f t="shared" si="58"/>
        <v>0.83757475514495305</v>
      </c>
      <c r="AI26" s="51">
        <f t="shared" si="58"/>
        <v>0.85422347101938201</v>
      </c>
      <c r="AJ26" s="51">
        <f t="shared" si="58"/>
        <v>0.85612935835378656</v>
      </c>
      <c r="AK26" s="51">
        <f t="shared" si="58"/>
        <v>0.88105252455302052</v>
      </c>
      <c r="AL26" s="51">
        <f t="shared" si="58"/>
        <v>0.93744072913385756</v>
      </c>
      <c r="AM26" s="51">
        <f t="shared" si="58"/>
        <v>0.88972444834778786</v>
      </c>
      <c r="AN26" s="51">
        <f t="shared" si="58"/>
        <v>0.91061880666717465</v>
      </c>
      <c r="AO26" s="51">
        <f t="shared" si="58"/>
        <v>0.98510905120627212</v>
      </c>
      <c r="AP26" s="51">
        <f>-(AP7+AP8+AP9)/AP6</f>
        <v>1.0610656270305394</v>
      </c>
      <c r="AQ26" s="51">
        <f>-(AQ7+AQ8+AQ9)/AQ6</f>
        <v>1.0734923057412857</v>
      </c>
      <c r="AR26" s="51">
        <f>-(AR7+AR8+AR9)/AR6</f>
        <v>1.0967433648039977</v>
      </c>
      <c r="AS26" s="51">
        <f>-(AS7+AS8+AS9)/AS6</f>
        <v>1.0355833868189035</v>
      </c>
      <c r="AT26" s="51">
        <f>-(AT7+AT8+AT9)/AT6</f>
        <v>1.0135631284775231</v>
      </c>
      <c r="AU26" s="51">
        <f t="shared" ref="AU26" si="59">-(AU7+AU8+AU9)/AU6</f>
        <v>0.98503736731969671</v>
      </c>
      <c r="AV26" s="51">
        <f t="shared" ref="AV26:BB26" si="60">-(AV7+AV8+AV9)/AV6</f>
        <v>0.94554022954499195</v>
      </c>
      <c r="AW26" s="51">
        <f t="shared" si="60"/>
        <v>0.95834907860380492</v>
      </c>
      <c r="AX26" s="51">
        <f t="shared" si="60"/>
        <v>0.94898134423330782</v>
      </c>
      <c r="AY26" s="51">
        <f t="shared" si="60"/>
        <v>0.92755873488408913</v>
      </c>
      <c r="AZ26" s="51">
        <f t="shared" si="60"/>
        <v>0.93258514260880943</v>
      </c>
      <c r="BA26" s="51">
        <f t="shared" si="60"/>
        <v>0.9623814259231579</v>
      </c>
      <c r="BB26" s="51">
        <f t="shared" si="60"/>
        <v>0.92645252977767911</v>
      </c>
      <c r="BC26" s="52">
        <f t="shared" ref="BC26" si="61">-(BC7+BC8+BC9)/BC6</f>
        <v>0.92146172789047254</v>
      </c>
    </row>
    <row r="29" spans="2:55" x14ac:dyDescent="0.25">
      <c r="AO29" s="87"/>
      <c r="AP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0" max="1048575" man="1"/>
  </colBreaks>
  <ignoredErrors>
    <ignoredError sqref="E10:U10 E17:T17 AF10:AF17 E13:U14 E11:T12 E16:U16 E15:T15 V10:V17 W10:W18 X10:Z17 AC10:AE10 AC17 AC13:AD14 AC11:AC12 AC16:AD16 AC15" formulaRange="1"/>
    <ignoredError sqref="AA10:AB10" formula="1" formulaRange="1"/>
    <ignoredError sqref="AI5:AQ18 AU5:AU18 AA13:AB14 AY5:AY18 AA11:AA12 AA16:AB16 AA15 AA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F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5" width="11.28515625" style="10" hidden="1" customWidth="1" outlineLevel="1" collapsed="1"/>
    <col min="26" max="26" width="11.28515625" style="10" customWidth="1" collapsed="1"/>
    <col min="27" max="27" width="11.28515625" style="10" customWidth="1"/>
    <col min="28" max="29" width="11.28515625" style="10" hidden="1" customWidth="1" outlineLevel="1"/>
    <col min="30" max="30" width="11.28515625" style="10" customWidth="1" collapsed="1"/>
    <col min="31" max="31" width="11.28515625" style="10" customWidth="1"/>
    <col min="32" max="16384" width="11.42578125" style="10"/>
  </cols>
  <sheetData>
    <row r="1" spans="2:32" ht="16.5" customHeight="1" x14ac:dyDescent="0.25"/>
    <row r="2" spans="2:32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2:32" x14ac:dyDescent="0.25">
      <c r="B4" s="53"/>
      <c r="D4" s="54"/>
      <c r="E4" s="179" t="s">
        <v>54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</row>
    <row r="5" spans="2:32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188</v>
      </c>
      <c r="X5" s="17" t="s">
        <v>212</v>
      </c>
      <c r="Y5" s="17" t="s">
        <v>216</v>
      </c>
      <c r="Z5" s="17" t="s">
        <v>218</v>
      </c>
      <c r="AA5" s="17" t="s">
        <v>220</v>
      </c>
      <c r="AB5" s="17" t="s">
        <v>223</v>
      </c>
      <c r="AC5" s="17" t="s">
        <v>226</v>
      </c>
      <c r="AD5" s="17" t="s">
        <v>228</v>
      </c>
      <c r="AE5" s="18" t="s">
        <v>230</v>
      </c>
      <c r="AF5" s="55" t="s">
        <v>0</v>
      </c>
    </row>
    <row r="6" spans="2:32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6">
        <v>612487.58698000002</v>
      </c>
      <c r="Z6" s="56">
        <v>826193.52672000008</v>
      </c>
      <c r="AA6" s="56">
        <v>213599.31371999998</v>
      </c>
      <c r="AB6" s="56">
        <v>446997.66496000002</v>
      </c>
      <c r="AC6" s="56">
        <v>684746.33151000005</v>
      </c>
      <c r="AD6" s="56">
        <v>924049.33856999991</v>
      </c>
      <c r="AE6" s="57">
        <v>236140.81025000004</v>
      </c>
      <c r="AF6" s="58">
        <f>+AE6/AA6-1</f>
        <v>0.10553168986089978</v>
      </c>
    </row>
    <row r="7" spans="2:32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6">
        <v>117010.78094000001</v>
      </c>
      <c r="Z7" s="56">
        <v>157858.10019</v>
      </c>
      <c r="AA7" s="56">
        <v>42393.607040000003</v>
      </c>
      <c r="AB7" s="56">
        <v>84519.458989999985</v>
      </c>
      <c r="AC7" s="56">
        <v>125558.24246999998</v>
      </c>
      <c r="AD7" s="56">
        <v>167841.62311000002</v>
      </c>
      <c r="AE7" s="57">
        <v>43483.361190000003</v>
      </c>
      <c r="AF7" s="58">
        <f>+AE7/AA7-1</f>
        <v>2.5705624646937375E-2</v>
      </c>
    </row>
    <row r="8" spans="2:32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6">
        <v>26772.181279999997</v>
      </c>
      <c r="Z8" s="56">
        <v>33859.877889999989</v>
      </c>
      <c r="AA8" s="56">
        <v>17829.831650000004</v>
      </c>
      <c r="AB8" s="56">
        <v>24597.635480000001</v>
      </c>
      <c r="AC8" s="56">
        <v>30505.179729999996</v>
      </c>
      <c r="AD8" s="56">
        <v>38833.015329999995</v>
      </c>
      <c r="AE8" s="57">
        <v>21404.549060000001</v>
      </c>
      <c r="AF8" s="58">
        <f>+AE8/AA8-1</f>
        <v>0.20049081114010381</v>
      </c>
    </row>
    <row r="9" spans="2:32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6">
        <v>1358.5527999999999</v>
      </c>
      <c r="Z9" s="56">
        <v>1694.0197000000001</v>
      </c>
      <c r="AA9" s="56">
        <v>1375.08116</v>
      </c>
      <c r="AB9" s="56">
        <v>2103.7755200000001</v>
      </c>
      <c r="AC9" s="56">
        <v>3004.66329</v>
      </c>
      <c r="AD9" s="56">
        <v>3945.5780299999997</v>
      </c>
      <c r="AE9" s="57">
        <v>2200.1366600000001</v>
      </c>
      <c r="AF9" s="58">
        <f>+AE9/AA9-1</f>
        <v>0.60000494807157434</v>
      </c>
    </row>
    <row r="10" spans="2:32" ht="15" thickBot="1" x14ac:dyDescent="0.3">
      <c r="B10" s="53"/>
      <c r="D10" s="42" t="s">
        <v>1</v>
      </c>
      <c r="E10" s="88">
        <f t="shared" ref="E10:K10" si="0">SUM(E6:E9)</f>
        <v>853120</v>
      </c>
      <c r="F10" s="88">
        <f>SUM(F6:F9)</f>
        <v>671237.88711999997</v>
      </c>
      <c r="G10" s="88">
        <f t="shared" si="0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0"/>
        <v>898613.99400000006</v>
      </c>
      <c r="K10" s="88">
        <f t="shared" si="0"/>
        <v>224068</v>
      </c>
      <c r="L10" s="88">
        <f t="shared" ref="L10:AD10" si="1">SUM(L6:L9)</f>
        <v>456465</v>
      </c>
      <c r="M10" s="88">
        <f t="shared" si="1"/>
        <v>682637.54914000002</v>
      </c>
      <c r="N10" s="88">
        <f t="shared" si="1"/>
        <v>907189</v>
      </c>
      <c r="O10" s="88">
        <f t="shared" si="1"/>
        <v>232005</v>
      </c>
      <c r="P10" s="88">
        <f t="shared" si="1"/>
        <v>474789</v>
      </c>
      <c r="Q10" s="88">
        <f t="shared" si="1"/>
        <v>710701</v>
      </c>
      <c r="R10" s="59">
        <f t="shared" si="1"/>
        <v>946679</v>
      </c>
      <c r="S10" s="59">
        <f t="shared" si="1"/>
        <v>244211</v>
      </c>
      <c r="T10" s="59">
        <f t="shared" si="1"/>
        <v>491948</v>
      </c>
      <c r="U10" s="59">
        <f t="shared" si="1"/>
        <v>731947</v>
      </c>
      <c r="V10" s="59">
        <f t="shared" si="1"/>
        <v>973281</v>
      </c>
      <c r="W10" s="59">
        <f t="shared" si="1"/>
        <v>251419</v>
      </c>
      <c r="X10" s="59">
        <f t="shared" si="1"/>
        <v>503899.57588000002</v>
      </c>
      <c r="Y10" s="59">
        <f t="shared" si="1"/>
        <v>757629.10199999996</v>
      </c>
      <c r="Z10" s="59">
        <f t="shared" si="1"/>
        <v>1019605.5245000001</v>
      </c>
      <c r="AA10" s="59">
        <f t="shared" si="1"/>
        <v>275197.83356999996</v>
      </c>
      <c r="AB10" s="59">
        <f t="shared" si="1"/>
        <v>558218.53495000012</v>
      </c>
      <c r="AC10" s="59">
        <f t="shared" si="1"/>
        <v>843814.41700000002</v>
      </c>
      <c r="AD10" s="59">
        <f t="shared" si="1"/>
        <v>1134669.55504</v>
      </c>
      <c r="AE10" s="60">
        <f t="shared" ref="AE10" si="2">SUM(AE6:AE9)</f>
        <v>303228.85716000007</v>
      </c>
      <c r="AF10" s="61">
        <f>+AE10/AA10-1</f>
        <v>0.10185771895936857</v>
      </c>
    </row>
    <row r="11" spans="2:32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</row>
    <row r="13" spans="2:32" x14ac:dyDescent="0.25">
      <c r="D13" s="54"/>
      <c r="E13" s="179" t="s">
        <v>215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</row>
    <row r="14" spans="2:32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188</v>
      </c>
      <c r="X14" s="17" t="s">
        <v>212</v>
      </c>
      <c r="Y14" s="17" t="s">
        <v>216</v>
      </c>
      <c r="Z14" s="17" t="s">
        <v>218</v>
      </c>
      <c r="AA14" s="17" t="s">
        <v>220</v>
      </c>
      <c r="AB14" s="17" t="s">
        <v>223</v>
      </c>
      <c r="AC14" s="17" t="s">
        <v>226</v>
      </c>
      <c r="AD14" s="17" t="s">
        <v>228</v>
      </c>
      <c r="AE14" s="18" t="s">
        <v>230</v>
      </c>
      <c r="AF14" s="65" t="s">
        <v>0</v>
      </c>
    </row>
    <row r="15" spans="2:32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6">
        <v>2484431</v>
      </c>
      <c r="Z15" s="56">
        <v>2514371</v>
      </c>
      <c r="AA15" s="56">
        <v>2564245</v>
      </c>
      <c r="AB15" s="56">
        <v>2626269</v>
      </c>
      <c r="AC15" s="56">
        <v>2679576</v>
      </c>
      <c r="AD15" s="56">
        <v>2729536</v>
      </c>
      <c r="AE15" s="57">
        <v>2789748</v>
      </c>
      <c r="AF15" s="58">
        <f>+AE15/AA15-1</f>
        <v>8.794128486162589E-2</v>
      </c>
    </row>
    <row r="16" spans="2:32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6">
        <v>731544</v>
      </c>
      <c r="Z16" s="56">
        <v>738995</v>
      </c>
      <c r="AA16" s="56">
        <v>750886</v>
      </c>
      <c r="AB16" s="56">
        <v>759867</v>
      </c>
      <c r="AC16" s="56">
        <v>769090</v>
      </c>
      <c r="AD16" s="56">
        <v>776208</v>
      </c>
      <c r="AE16" s="57">
        <v>784306</v>
      </c>
      <c r="AF16" s="58">
        <f>+AE16/AA16-1</f>
        <v>4.4507421898930088E-2</v>
      </c>
    </row>
    <row r="17" spans="4:32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6">
        <v>117503</v>
      </c>
      <c r="Z17" s="56">
        <v>121408</v>
      </c>
      <c r="AA17" s="56">
        <v>116278</v>
      </c>
      <c r="AB17" s="56">
        <v>116149</v>
      </c>
      <c r="AC17" s="56">
        <v>118340</v>
      </c>
      <c r="AD17" s="56">
        <v>127338</v>
      </c>
      <c r="AE17" s="57">
        <v>126444</v>
      </c>
      <c r="AF17" s="58">
        <f>+AE17/AA17-1</f>
        <v>8.7428404341320043E-2</v>
      </c>
    </row>
    <row r="18" spans="4:32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3544</v>
      </c>
      <c r="W18" s="56">
        <v>12284</v>
      </c>
      <c r="X18" s="56">
        <v>27663</v>
      </c>
      <c r="Y18" s="56">
        <v>43872</v>
      </c>
      <c r="Z18" s="56">
        <v>60019</v>
      </c>
      <c r="AA18" s="56">
        <v>68669</v>
      </c>
      <c r="AB18" s="56">
        <v>76716</v>
      </c>
      <c r="AC18" s="56">
        <v>84680</v>
      </c>
      <c r="AD18" s="56">
        <v>92111</v>
      </c>
      <c r="AE18" s="57">
        <v>96436</v>
      </c>
      <c r="AF18" s="58">
        <f>+AE18/AA18-1</f>
        <v>0.4043600460178538</v>
      </c>
    </row>
    <row r="19" spans="4:32" ht="15" thickBot="1" x14ac:dyDescent="0.3">
      <c r="D19" s="42" t="s">
        <v>1</v>
      </c>
      <c r="E19" s="59">
        <f t="shared" ref="E19" si="3">SUM(E15:E18)</f>
        <v>3023891</v>
      </c>
      <c r="F19" s="59">
        <f>SUM(F15:F18)</f>
        <v>3151410</v>
      </c>
      <c r="G19" s="59">
        <f t="shared" ref="G19" si="4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AD19" si="5">SUM(J15:J18)</f>
        <v>3224003</v>
      </c>
      <c r="K19" s="59">
        <f t="shared" si="5"/>
        <v>3262995</v>
      </c>
      <c r="L19" s="59">
        <f t="shared" si="5"/>
        <v>3305624</v>
      </c>
      <c r="M19" s="59">
        <f t="shared" si="5"/>
        <v>3328956</v>
      </c>
      <c r="N19" s="59">
        <f t="shared" si="5"/>
        <v>3349638</v>
      </c>
      <c r="O19" s="59">
        <f t="shared" si="5"/>
        <v>3391690</v>
      </c>
      <c r="P19" s="59">
        <f t="shared" si="5"/>
        <v>3429740</v>
      </c>
      <c r="Q19" s="59">
        <f t="shared" si="5"/>
        <v>3444409</v>
      </c>
      <c r="R19" s="59">
        <f t="shared" si="5"/>
        <v>3462976</v>
      </c>
      <c r="S19" s="59">
        <f t="shared" si="5"/>
        <v>3471010</v>
      </c>
      <c r="T19" s="59">
        <f t="shared" si="5"/>
        <v>3419707</v>
      </c>
      <c r="U19" s="59">
        <f t="shared" si="5"/>
        <v>3359876</v>
      </c>
      <c r="V19" s="59">
        <f t="shared" si="5"/>
        <v>3318654</v>
      </c>
      <c r="W19" s="59">
        <f t="shared" si="5"/>
        <v>3315917</v>
      </c>
      <c r="X19" s="59">
        <f t="shared" si="5"/>
        <v>3337879</v>
      </c>
      <c r="Y19" s="59">
        <f t="shared" si="5"/>
        <v>3377350</v>
      </c>
      <c r="Z19" s="59">
        <f t="shared" si="5"/>
        <v>3434793</v>
      </c>
      <c r="AA19" s="59">
        <f t="shared" si="5"/>
        <v>3500078</v>
      </c>
      <c r="AB19" s="59">
        <f t="shared" si="5"/>
        <v>3579001</v>
      </c>
      <c r="AC19" s="59">
        <f t="shared" si="5"/>
        <v>3651686</v>
      </c>
      <c r="AD19" s="59">
        <f t="shared" si="5"/>
        <v>3725193</v>
      </c>
      <c r="AE19" s="60">
        <f t="shared" ref="AE19" si="6">SUM(AE15:AE18)</f>
        <v>3796934</v>
      </c>
      <c r="AF19" s="61">
        <f>+AE19/AA19-1</f>
        <v>8.4814109856980346E-2</v>
      </c>
    </row>
    <row r="22" spans="4:32" x14ac:dyDescent="0.25">
      <c r="D22" s="54"/>
      <c r="E22" s="179" t="s">
        <v>56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</row>
    <row r="23" spans="4:32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188</v>
      </c>
      <c r="X23" s="17" t="s">
        <v>212</v>
      </c>
      <c r="Y23" s="17" t="s">
        <v>216</v>
      </c>
      <c r="Z23" s="17" t="s">
        <v>218</v>
      </c>
      <c r="AA23" s="17" t="s">
        <v>220</v>
      </c>
      <c r="AB23" s="17" t="s">
        <v>223</v>
      </c>
      <c r="AC23" s="17" t="s">
        <v>226</v>
      </c>
      <c r="AD23" s="17" t="s">
        <v>228</v>
      </c>
      <c r="AE23" s="18" t="s">
        <v>230</v>
      </c>
      <c r="AF23" s="65" t="s">
        <v>0</v>
      </c>
    </row>
    <row r="24" spans="4:32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6">
        <v>19752.114562322648</v>
      </c>
      <c r="Z24" s="56">
        <v>31271.659094822833</v>
      </c>
      <c r="AA24" s="56">
        <v>18032.852373521018</v>
      </c>
      <c r="AB24" s="56">
        <v>32667.834531579501</v>
      </c>
      <c r="AC24" s="56">
        <v>39416.985565575545</v>
      </c>
      <c r="AD24" s="56">
        <v>55586.844939782881</v>
      </c>
      <c r="AE24" s="57">
        <v>20192.969482065928</v>
      </c>
      <c r="AF24" s="58">
        <f>+AE24/AA24-1</f>
        <v>0.11978787735859076</v>
      </c>
    </row>
    <row r="25" spans="4:32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6">
        <v>12379.846439535992</v>
      </c>
      <c r="Z25" s="56">
        <v>15745.532871009986</v>
      </c>
      <c r="AA25" s="56">
        <v>1313.4689872767849</v>
      </c>
      <c r="AB25" s="56">
        <v>6025.94440314034</v>
      </c>
      <c r="AC25" s="56">
        <v>10813.493842425552</v>
      </c>
      <c r="AD25" s="56">
        <v>15548.486834775016</v>
      </c>
      <c r="AE25" s="57">
        <v>2425.7899377947397</v>
      </c>
      <c r="AF25" s="58">
        <f>+AE25/AA25-1</f>
        <v>0.84685741444427221</v>
      </c>
    </row>
    <row r="26" spans="4:32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6">
        <v>-5370.0579507839957</v>
      </c>
      <c r="Z26" s="56">
        <v>-7315.2481049993294</v>
      </c>
      <c r="AA26" s="56">
        <v>-1560.2569658116399</v>
      </c>
      <c r="AB26" s="56">
        <v>-3240.3976228577194</v>
      </c>
      <c r="AC26" s="56">
        <v>-4626.8404459016383</v>
      </c>
      <c r="AD26" s="56">
        <v>-5287.327939131359</v>
      </c>
      <c r="AE26" s="57">
        <v>-1225.4377150285791</v>
      </c>
      <c r="AF26" s="58">
        <f>+AE26/AA26-1</f>
        <v>-0.21459237684536736</v>
      </c>
    </row>
    <row r="27" spans="4:32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6">
        <v>-75.776652496000594</v>
      </c>
      <c r="Z27" s="56">
        <v>-335.92347175999953</v>
      </c>
      <c r="AA27" s="56">
        <v>191.69056400639988</v>
      </c>
      <c r="AB27" s="56">
        <v>-113.96665474729993</v>
      </c>
      <c r="AC27" s="56">
        <v>-165.64989599720047</v>
      </c>
      <c r="AD27" s="56">
        <v>-80.092060061800609</v>
      </c>
      <c r="AE27" s="57">
        <v>261.69573324800035</v>
      </c>
      <c r="AF27" s="58">
        <f>+AE27/AA27-1</f>
        <v>0.36519882762337352</v>
      </c>
    </row>
    <row r="28" spans="4:32" ht="15" thickBot="1" x14ac:dyDescent="0.3">
      <c r="D28" s="42" t="s">
        <v>1</v>
      </c>
      <c r="E28" s="88">
        <f t="shared" ref="E28:K28" si="7">SUM(E24:E27)</f>
        <v>117812</v>
      </c>
      <c r="F28" s="88">
        <f>SUM(F24:F27)</f>
        <v>80667.798297736299</v>
      </c>
      <c r="G28" s="88">
        <f t="shared" si="7"/>
        <v>103650</v>
      </c>
      <c r="H28" s="88">
        <f>SUM(H24:H27)</f>
        <v>62038</v>
      </c>
      <c r="I28" s="88">
        <f>SUM(I24:I27)</f>
        <v>109563.85984785965</v>
      </c>
      <c r="J28" s="88">
        <f t="shared" si="7"/>
        <v>145939</v>
      </c>
      <c r="K28" s="88">
        <f t="shared" si="7"/>
        <v>31544</v>
      </c>
      <c r="L28" s="88">
        <f t="shared" ref="L28:AD28" si="8">SUM(L24:L27)</f>
        <v>63139</v>
      </c>
      <c r="M28" s="88">
        <f t="shared" si="8"/>
        <v>89609.472215723959</v>
      </c>
      <c r="N28" s="88">
        <f t="shared" si="8"/>
        <v>103635</v>
      </c>
      <c r="O28" s="88">
        <f t="shared" si="8"/>
        <v>24108</v>
      </c>
      <c r="P28" s="59">
        <f t="shared" si="8"/>
        <v>44051</v>
      </c>
      <c r="Q28" s="88">
        <f t="shared" si="8"/>
        <v>47447</v>
      </c>
      <c r="R28" s="59">
        <f t="shared" si="8"/>
        <v>33350</v>
      </c>
      <c r="S28" s="59">
        <f t="shared" si="8"/>
        <v>-16806</v>
      </c>
      <c r="T28" s="59">
        <f t="shared" si="8"/>
        <v>-39380</v>
      </c>
      <c r="U28" s="59">
        <f t="shared" si="8"/>
        <v>-47807</v>
      </c>
      <c r="V28" s="59">
        <f t="shared" si="8"/>
        <v>-51032</v>
      </c>
      <c r="W28" s="59">
        <f t="shared" si="8"/>
        <v>3536</v>
      </c>
      <c r="X28" s="59">
        <f t="shared" si="8"/>
        <v>16511.895033665365</v>
      </c>
      <c r="Y28" s="59">
        <f t="shared" si="8"/>
        <v>26686.126398578646</v>
      </c>
      <c r="Z28" s="59">
        <f t="shared" si="8"/>
        <v>39366.020389073492</v>
      </c>
      <c r="AA28" s="59">
        <f t="shared" si="8"/>
        <v>17977.754958992562</v>
      </c>
      <c r="AB28" s="59">
        <f t="shared" si="8"/>
        <v>35339.414657114816</v>
      </c>
      <c r="AC28" s="59">
        <f t="shared" si="8"/>
        <v>45437.989066102258</v>
      </c>
      <c r="AD28" s="59">
        <f t="shared" si="8"/>
        <v>65767.911775364744</v>
      </c>
      <c r="AE28" s="60">
        <f t="shared" ref="AE28" si="9">SUM(AE24:AE27)</f>
        <v>21655.017438080089</v>
      </c>
      <c r="AF28" s="61">
        <f>+AE28/AA28-1</f>
        <v>0.20454514412257807</v>
      </c>
    </row>
    <row r="31" spans="4:32" x14ac:dyDescent="0.25">
      <c r="D31" s="54"/>
      <c r="E31" s="179" t="s">
        <v>55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</row>
    <row r="32" spans="4:32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188</v>
      </c>
      <c r="X32" s="17" t="s">
        <v>212</v>
      </c>
      <c r="Y32" s="17" t="s">
        <v>216</v>
      </c>
      <c r="Z32" s="17" t="s">
        <v>218</v>
      </c>
      <c r="AA32" s="17" t="s">
        <v>220</v>
      </c>
      <c r="AB32" s="17" t="s">
        <v>223</v>
      </c>
      <c r="AC32" s="17" t="s">
        <v>226</v>
      </c>
      <c r="AD32" s="17" t="s">
        <v>228</v>
      </c>
      <c r="AE32" s="18" t="s">
        <v>230</v>
      </c>
      <c r="AF32" s="66" t="s">
        <v>13</v>
      </c>
    </row>
    <row r="33" spans="4:32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7">
        <v>0.96676149442597969</v>
      </c>
      <c r="Z33" s="67">
        <v>0.96087263269486156</v>
      </c>
      <c r="AA33" s="67">
        <v>0.91185247426340055</v>
      </c>
      <c r="AB33" s="67">
        <v>0.92171061163790136</v>
      </c>
      <c r="AC33" s="67">
        <v>0.9383554430949077</v>
      </c>
      <c r="AD33" s="67">
        <v>0.93596286446207633</v>
      </c>
      <c r="AE33" s="68">
        <v>0.91180787464684676</v>
      </c>
      <c r="AF33" s="69">
        <f>(AE33-AA33)*100</f>
        <v>-4.4599616553786525E-3</v>
      </c>
    </row>
    <row r="34" spans="4:32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7">
        <v>0.88810897371036679</v>
      </c>
      <c r="Z34" s="67">
        <v>0.89440268119977162</v>
      </c>
      <c r="AA34" s="67">
        <v>0.96569102034853327</v>
      </c>
      <c r="AB34" s="67">
        <v>0.9223862360008539</v>
      </c>
      <c r="AC34" s="67">
        <v>0.908440829359489</v>
      </c>
      <c r="AD34" s="67">
        <v>0.90224193926669105</v>
      </c>
      <c r="AE34" s="68">
        <v>0.93980318037895505</v>
      </c>
      <c r="AF34" s="69">
        <f>(AE34-AA34)*100</f>
        <v>-2.5887839969578219</v>
      </c>
    </row>
    <row r="35" spans="4:32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7">
        <v>1.4046696933917961</v>
      </c>
      <c r="Z35" s="67">
        <v>1.4066292395350786</v>
      </c>
      <c r="AA35" s="67">
        <v>1.3279039406519231</v>
      </c>
      <c r="AB35" s="67">
        <v>1.3346999990944295</v>
      </c>
      <c r="AC35" s="67">
        <v>1.3116778599725611</v>
      </c>
      <c r="AD35" s="67">
        <v>1.2526902940857769</v>
      </c>
      <c r="AE35" s="68">
        <v>1.2212295672901399</v>
      </c>
      <c r="AF35" s="69">
        <f>(AE35-AA35)*100</f>
        <v>-10.66743733617832</v>
      </c>
    </row>
    <row r="36" spans="4:32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7">
        <v>1.1061154086099845</v>
      </c>
      <c r="Z36" s="67">
        <v>1.308664968947248</v>
      </c>
      <c r="AA36" s="67">
        <v>0.6530216729197037</v>
      </c>
      <c r="AB36" s="67">
        <v>1.1024160267474805</v>
      </c>
      <c r="AC36" s="67">
        <v>1.0931268925725048</v>
      </c>
      <c r="AD36" s="67">
        <v>1.0313514253094835</v>
      </c>
      <c r="AE36" s="68">
        <v>0.71651445662485613</v>
      </c>
      <c r="AF36" s="69">
        <f>(AE36-AA36)*100</f>
        <v>6.3492783705152434</v>
      </c>
    </row>
    <row r="37" spans="4:32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0">
        <v>0.96287820639832877</v>
      </c>
      <c r="Z37" s="70">
        <v>0.95930802198960419</v>
      </c>
      <c r="AA37" s="70">
        <v>0.92755873488408913</v>
      </c>
      <c r="AB37" s="70">
        <v>0.93011847773374523</v>
      </c>
      <c r="AC37" s="70">
        <v>0.94130605372633003</v>
      </c>
      <c r="AD37" s="70">
        <v>0.93739789327848211</v>
      </c>
      <c r="AE37" s="71">
        <v>0.92146172789047254</v>
      </c>
      <c r="AF37" s="72">
        <f>(AE37-AA37)*100</f>
        <v>-0.60970069936165938</v>
      </c>
    </row>
    <row r="38" spans="4:32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4:32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 t="s">
        <v>47</v>
      </c>
    </row>
  </sheetData>
  <mergeCells count="4">
    <mergeCell ref="E4:AF4"/>
    <mergeCell ref="E22:AF22"/>
    <mergeCell ref="E31:AF31"/>
    <mergeCell ref="E13:AF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0" tint="-0.14999847407452621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5" width="11" style="73" hidden="1" customWidth="1" outlineLevel="1" collapsed="1"/>
    <col min="26" max="26" width="11" style="73" customWidth="1" collapsed="1"/>
    <col min="27" max="27" width="11" style="73" customWidth="1"/>
    <col min="28" max="29" width="11" style="73" hidden="1" customWidth="1" outlineLevel="1"/>
    <col min="30" max="30" width="11" style="73" customWidth="1" collapsed="1"/>
    <col min="31" max="32" width="11" style="73" customWidth="1"/>
    <col min="33" max="33" width="3" style="13" customWidth="1"/>
    <col min="34" max="16384" width="10.85546875" style="73"/>
  </cols>
  <sheetData>
    <row r="1" spans="2:56" ht="16.5" customHeight="1" x14ac:dyDescent="0.2"/>
    <row r="2" spans="2:56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44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47" t="s">
        <v>228</v>
      </c>
      <c r="AE4" s="74" t="s">
        <v>230</v>
      </c>
      <c r="AF4" s="75" t="s">
        <v>0</v>
      </c>
      <c r="AG4" s="13"/>
      <c r="AH4" s="47" t="s">
        <v>110</v>
      </c>
      <c r="AI4" s="47" t="s">
        <v>111</v>
      </c>
      <c r="AJ4" s="47" t="s">
        <v>112</v>
      </c>
      <c r="AK4" s="47" t="s">
        <v>113</v>
      </c>
      <c r="AL4" s="47" t="s">
        <v>114</v>
      </c>
      <c r="AM4" s="47" t="s">
        <v>115</v>
      </c>
      <c r="AN4" s="47" t="s">
        <v>116</v>
      </c>
      <c r="AO4" s="47" t="s">
        <v>117</v>
      </c>
      <c r="AP4" s="47" t="s">
        <v>118</v>
      </c>
      <c r="AQ4" s="47" t="s">
        <v>119</v>
      </c>
      <c r="AR4" s="47" t="s">
        <v>62</v>
      </c>
      <c r="AS4" s="47" t="s">
        <v>63</v>
      </c>
      <c r="AT4" s="47" t="s">
        <v>64</v>
      </c>
      <c r="AU4" s="47" t="s">
        <v>65</v>
      </c>
      <c r="AV4" s="47" t="s">
        <v>189</v>
      </c>
      <c r="AW4" s="47" t="s">
        <v>213</v>
      </c>
      <c r="AX4" s="47" t="s">
        <v>217</v>
      </c>
      <c r="AY4" s="47" t="s">
        <v>219</v>
      </c>
      <c r="AZ4" s="47" t="s">
        <v>221</v>
      </c>
      <c r="BA4" s="47" t="s">
        <v>224</v>
      </c>
      <c r="BB4" s="47" t="s">
        <v>227</v>
      </c>
      <c r="BC4" s="47" t="s">
        <v>229</v>
      </c>
      <c r="BD4" s="74" t="s">
        <v>232</v>
      </c>
    </row>
    <row r="5" spans="2:56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6">
        <v>612487.58698000002</v>
      </c>
      <c r="Z5" s="76">
        <v>826193.52672000008</v>
      </c>
      <c r="AA5" s="76">
        <v>213599.31371999998</v>
      </c>
      <c r="AB5" s="76">
        <v>446997.66496000002</v>
      </c>
      <c r="AC5" s="76">
        <v>684746.33151000005</v>
      </c>
      <c r="AD5" s="76">
        <v>924049.33856999991</v>
      </c>
      <c r="AE5" s="77">
        <v>236140.81025000004</v>
      </c>
      <c r="AF5" s="78">
        <f t="shared" ref="AF5:AF10" si="0">+AE5/AA5-1</f>
        <v>0.10553168986089978</v>
      </c>
      <c r="AH5" s="76">
        <f>I5-H5</f>
        <v>189687.1649899999</v>
      </c>
      <c r="AI5" s="76">
        <f>J5-I5</f>
        <v>187478.61596000008</v>
      </c>
      <c r="AJ5" s="76">
        <f t="shared" ref="AJ5:AJ8" si="1">K5</f>
        <v>178953</v>
      </c>
      <c r="AK5" s="76">
        <f t="shared" ref="AK5:AM9" si="2">L5-K5</f>
        <v>194748</v>
      </c>
      <c r="AL5" s="76">
        <f t="shared" si="2"/>
        <v>189599.91514000006</v>
      </c>
      <c r="AM5" s="76">
        <f t="shared" si="2"/>
        <v>184799.08485999994</v>
      </c>
      <c r="AN5" s="76">
        <f t="shared" ref="AN5:AN8" si="3">O5</f>
        <v>181928</v>
      </c>
      <c r="AO5" s="76">
        <f>P5-O5</f>
        <v>201278</v>
      </c>
      <c r="AP5" s="76">
        <f>Q5-P5</f>
        <v>196213</v>
      </c>
      <c r="AQ5" s="76">
        <f>R5-Q5</f>
        <v>193368</v>
      </c>
      <c r="AR5" s="76">
        <f>S5</f>
        <v>191528</v>
      </c>
      <c r="AS5" s="76">
        <f t="shared" ref="AS5:AU9" si="4">T5-S5</f>
        <v>204580</v>
      </c>
      <c r="AT5" s="76">
        <f t="shared" si="4"/>
        <v>199132</v>
      </c>
      <c r="AU5" s="76">
        <f t="shared" si="4"/>
        <v>197444</v>
      </c>
      <c r="AV5" s="76">
        <f>W5</f>
        <v>195770.9215</v>
      </c>
      <c r="AW5" s="76">
        <f t="shared" ref="AW5:AX10" si="5">X5-W5</f>
        <v>206812.20425000001</v>
      </c>
      <c r="AX5" s="76">
        <f t="shared" si="5"/>
        <v>209904.46123000002</v>
      </c>
      <c r="AY5" s="76">
        <f t="shared" ref="AY5:AY10" si="6">Z5-Y5</f>
        <v>213705.93974000006</v>
      </c>
      <c r="AZ5" s="76">
        <f>AA5</f>
        <v>213599.31371999998</v>
      </c>
      <c r="BA5" s="76">
        <f t="shared" ref="BA5:BC9" si="7">AB5-AA5</f>
        <v>233398.35124000005</v>
      </c>
      <c r="BB5" s="76">
        <f t="shared" si="7"/>
        <v>237748.66655000002</v>
      </c>
      <c r="BC5" s="76">
        <f t="shared" si="7"/>
        <v>239303.00705999986</v>
      </c>
      <c r="BD5" s="77">
        <f>AE5</f>
        <v>236140.81025000004</v>
      </c>
    </row>
    <row r="6" spans="2:56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6">
        <v>594253.99010000017</v>
      </c>
      <c r="Z6" s="76">
        <v>799227.2736099998</v>
      </c>
      <c r="AA6" s="76">
        <v>204575.82017000014</v>
      </c>
      <c r="AB6" s="76">
        <v>417270.27398000006</v>
      </c>
      <c r="AC6" s="76">
        <v>639423.61733999976</v>
      </c>
      <c r="AD6" s="76">
        <v>868040.7777900002</v>
      </c>
      <c r="AE6" s="77">
        <v>228965.67466999995</v>
      </c>
      <c r="AF6" s="78">
        <f t="shared" si="0"/>
        <v>0.11922158972517938</v>
      </c>
      <c r="AH6" s="76">
        <f>I6-H6</f>
        <v>188434.77768000006</v>
      </c>
      <c r="AI6" s="76">
        <f t="shared" ref="AI6:AI9" si="8">J6-I6</f>
        <v>190015.22231999994</v>
      </c>
      <c r="AJ6" s="76">
        <f t="shared" si="1"/>
        <v>184280</v>
      </c>
      <c r="AK6" s="76">
        <f t="shared" si="2"/>
        <v>186526</v>
      </c>
      <c r="AL6" s="76">
        <f t="shared" si="2"/>
        <v>188544.34435000038</v>
      </c>
      <c r="AM6" s="76">
        <f t="shared" si="2"/>
        <v>187941.65564999962</v>
      </c>
      <c r="AN6" s="76">
        <f t="shared" si="3"/>
        <v>183489</v>
      </c>
      <c r="AO6" s="76">
        <f t="shared" ref="AO6:AP9" si="9">P6-O6</f>
        <v>186882</v>
      </c>
      <c r="AP6" s="76">
        <f t="shared" si="9"/>
        <v>190707</v>
      </c>
      <c r="AQ6" s="76">
        <f t="shared" ref="AQ6:AQ9" si="10">R6-Q6</f>
        <v>192200</v>
      </c>
      <c r="AR6" s="76">
        <f t="shared" ref="AR6:AR9" si="11">S6</f>
        <v>190008</v>
      </c>
      <c r="AS6" s="76">
        <f t="shared" si="4"/>
        <v>193693</v>
      </c>
      <c r="AT6" s="76">
        <f t="shared" si="4"/>
        <v>196587</v>
      </c>
      <c r="AU6" s="76">
        <f t="shared" si="4"/>
        <v>197494</v>
      </c>
      <c r="AV6" s="76">
        <f t="shared" ref="AV6:AV9" si="12">W6</f>
        <v>195848.11284999998</v>
      </c>
      <c r="AW6" s="76">
        <f t="shared" si="5"/>
        <v>196752.78625000018</v>
      </c>
      <c r="AX6" s="76">
        <f t="shared" si="5"/>
        <v>201653.09100000001</v>
      </c>
      <c r="AY6" s="76">
        <f t="shared" si="6"/>
        <v>204973.28350999963</v>
      </c>
      <c r="AZ6" s="76">
        <f t="shared" ref="AZ6:AZ9" si="13">AA6</f>
        <v>204575.82017000014</v>
      </c>
      <c r="BA6" s="76">
        <f t="shared" si="7"/>
        <v>212694.45380999992</v>
      </c>
      <c r="BB6" s="76">
        <f t="shared" si="7"/>
        <v>222153.34335999971</v>
      </c>
      <c r="BC6" s="76">
        <f t="shared" si="7"/>
        <v>228617.16045000043</v>
      </c>
      <c r="BD6" s="77">
        <f t="shared" ref="BD6:BD9" si="14">AE6</f>
        <v>228965.67466999995</v>
      </c>
    </row>
    <row r="7" spans="2:56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6">
        <v>-476439.62199703848</v>
      </c>
      <c r="Z7" s="56">
        <v>-635563.96846516582</v>
      </c>
      <c r="AA7" s="56">
        <v>-153035.92471771772</v>
      </c>
      <c r="AB7" s="56">
        <v>-316314.963299177</v>
      </c>
      <c r="AC7" s="56">
        <v>-496401.15264599555</v>
      </c>
      <c r="AD7" s="56">
        <v>-673655.55402905913</v>
      </c>
      <c r="AE7" s="57">
        <v>-175867.30772641074</v>
      </c>
      <c r="AF7" s="79">
        <f t="shared" si="0"/>
        <v>0.14918969549670535</v>
      </c>
      <c r="AH7" s="56">
        <f>I7-H7</f>
        <v>-104202.0986038135</v>
      </c>
      <c r="AI7" s="56">
        <f t="shared" si="8"/>
        <v>-115529.9013961865</v>
      </c>
      <c r="AJ7" s="56">
        <f t="shared" si="1"/>
        <v>-120874</v>
      </c>
      <c r="AK7" s="56">
        <f t="shared" si="2"/>
        <v>-123866</v>
      </c>
      <c r="AL7" s="56">
        <f t="shared" si="2"/>
        <v>-129922.88629253145</v>
      </c>
      <c r="AM7" s="56">
        <f t="shared" si="2"/>
        <v>-144203.11370746855</v>
      </c>
      <c r="AN7" s="56">
        <f t="shared" si="3"/>
        <v>-128817</v>
      </c>
      <c r="AO7" s="56">
        <f t="shared" si="9"/>
        <v>-137667</v>
      </c>
      <c r="AP7" s="56">
        <f t="shared" si="9"/>
        <v>-151822</v>
      </c>
      <c r="AQ7" s="56">
        <f t="shared" si="10"/>
        <v>-167023</v>
      </c>
      <c r="AR7" s="56">
        <f t="shared" si="11"/>
        <v>-168784</v>
      </c>
      <c r="AS7" s="56">
        <f t="shared" si="4"/>
        <v>-188044</v>
      </c>
      <c r="AT7" s="56">
        <f t="shared" si="4"/>
        <v>-170456</v>
      </c>
      <c r="AU7" s="56">
        <f t="shared" si="4"/>
        <v>-161803</v>
      </c>
      <c r="AV7" s="56">
        <f t="shared" si="12"/>
        <v>-157374.17457510444</v>
      </c>
      <c r="AW7" s="56">
        <f t="shared" si="5"/>
        <v>-158216.41276793653</v>
      </c>
      <c r="AX7" s="56">
        <f t="shared" si="5"/>
        <v>-160849.03465399751</v>
      </c>
      <c r="AY7" s="56">
        <f t="shared" si="6"/>
        <v>-159124.34646812733</v>
      </c>
      <c r="AZ7" s="56">
        <f t="shared" si="13"/>
        <v>-153035.92471771772</v>
      </c>
      <c r="BA7" s="56">
        <f t="shared" si="7"/>
        <v>-163279.03858145929</v>
      </c>
      <c r="BB7" s="56">
        <f t="shared" si="7"/>
        <v>-180086.18934681854</v>
      </c>
      <c r="BC7" s="56">
        <f t="shared" si="7"/>
        <v>-177254.40138306358</v>
      </c>
      <c r="BD7" s="57">
        <f t="shared" si="14"/>
        <v>-175867.30772641074</v>
      </c>
    </row>
    <row r="8" spans="2:56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6">
        <v>-115010.36742063904</v>
      </c>
      <c r="Z8" s="56">
        <v>-154820.75920001115</v>
      </c>
      <c r="AA8" s="56">
        <v>-37003.194558761388</v>
      </c>
      <c r="AB8" s="56">
        <v>-76700.057379243517</v>
      </c>
      <c r="AC8" s="56">
        <v>-117600.59568842864</v>
      </c>
      <c r="AD8" s="56">
        <v>-159508.93803115815</v>
      </c>
      <c r="AE8" s="57">
        <v>-37684.155871523275</v>
      </c>
      <c r="AF8" s="79">
        <f t="shared" si="0"/>
        <v>1.8402770919697664E-2</v>
      </c>
      <c r="AH8" s="56">
        <f>I8-H8</f>
        <v>-39472.174241789297</v>
      </c>
      <c r="AI8" s="56">
        <f t="shared" si="8"/>
        <v>-40558.825758210703</v>
      </c>
      <c r="AJ8" s="56">
        <f t="shared" si="1"/>
        <v>-36685</v>
      </c>
      <c r="AK8" s="56">
        <f t="shared" si="2"/>
        <v>-38673</v>
      </c>
      <c r="AL8" s="56">
        <f t="shared" si="2"/>
        <v>-39393.670754822524</v>
      </c>
      <c r="AM8" s="56">
        <f t="shared" si="2"/>
        <v>-39558.329245177476</v>
      </c>
      <c r="AN8" s="56">
        <f t="shared" si="3"/>
        <v>-35791</v>
      </c>
      <c r="AO8" s="56">
        <f t="shared" si="9"/>
        <v>-35677</v>
      </c>
      <c r="AP8" s="56">
        <f t="shared" si="9"/>
        <v>-38576</v>
      </c>
      <c r="AQ8" s="56">
        <f t="shared" si="10"/>
        <v>-40756</v>
      </c>
      <c r="AR8" s="56">
        <f t="shared" si="11"/>
        <v>-38667</v>
      </c>
      <c r="AS8" s="56">
        <f t="shared" si="4"/>
        <v>-35062</v>
      </c>
      <c r="AT8" s="56">
        <f t="shared" si="4"/>
        <v>-38469</v>
      </c>
      <c r="AU8" s="56">
        <f t="shared" si="4"/>
        <v>-41655</v>
      </c>
      <c r="AV8" s="56">
        <f t="shared" si="12"/>
        <v>-39247.284874826328</v>
      </c>
      <c r="AW8" s="56">
        <f t="shared" si="5"/>
        <v>-37550.585525481241</v>
      </c>
      <c r="AX8" s="56">
        <f t="shared" si="5"/>
        <v>-38212.497020331473</v>
      </c>
      <c r="AY8" s="56">
        <f t="shared" si="6"/>
        <v>-39810.391779372105</v>
      </c>
      <c r="AZ8" s="56">
        <f t="shared" si="13"/>
        <v>-37003.194558761388</v>
      </c>
      <c r="BA8" s="56">
        <f t="shared" si="7"/>
        <v>-39696.862820482129</v>
      </c>
      <c r="BB8" s="56">
        <f t="shared" si="7"/>
        <v>-40900.538309185125</v>
      </c>
      <c r="BC8" s="56">
        <f t="shared" si="7"/>
        <v>-41908.342342729506</v>
      </c>
      <c r="BD8" s="57">
        <f t="shared" si="14"/>
        <v>-37684.155871523275</v>
      </c>
    </row>
    <row r="9" spans="2:56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6">
        <v>16948.11387999999</v>
      </c>
      <c r="Z9" s="56">
        <v>22429.113149999997</v>
      </c>
      <c r="AA9" s="56">
        <v>3496.1514800000004</v>
      </c>
      <c r="AB9" s="56">
        <v>8412.581229999998</v>
      </c>
      <c r="AC9" s="56">
        <v>13995.116560000002</v>
      </c>
      <c r="AD9" s="56">
        <v>20710.559209999996</v>
      </c>
      <c r="AE9" s="57">
        <v>4778.7584100000013</v>
      </c>
      <c r="AF9" s="79">
        <f t="shared" si="0"/>
        <v>0.3668625164948518</v>
      </c>
      <c r="AH9" s="56">
        <f>I9-H9</f>
        <v>5684.9835100000018</v>
      </c>
      <c r="AI9" s="56">
        <f t="shared" si="8"/>
        <v>3760.0164899999982</v>
      </c>
      <c r="AJ9" s="56">
        <f>K9</f>
        <v>4390</v>
      </c>
      <c r="AK9" s="56">
        <f t="shared" si="2"/>
        <v>5492</v>
      </c>
      <c r="AL9" s="56">
        <f t="shared" si="2"/>
        <v>5814.0752099999972</v>
      </c>
      <c r="AM9" s="56">
        <f t="shared" si="2"/>
        <v>7180.9247900000028</v>
      </c>
      <c r="AN9" s="56">
        <f>O9</f>
        <v>2550</v>
      </c>
      <c r="AO9" s="56">
        <f t="shared" si="9"/>
        <v>4736</v>
      </c>
      <c r="AP9" s="56">
        <f t="shared" si="9"/>
        <v>5350</v>
      </c>
      <c r="AQ9" s="56">
        <f t="shared" si="10"/>
        <v>4870</v>
      </c>
      <c r="AR9" s="56">
        <f t="shared" si="11"/>
        <v>2391</v>
      </c>
      <c r="AS9" s="56">
        <f t="shared" si="4"/>
        <v>6782</v>
      </c>
      <c r="AT9" s="56">
        <f t="shared" si="4"/>
        <v>6702</v>
      </c>
      <c r="AU9" s="56">
        <f t="shared" si="4"/>
        <v>6223</v>
      </c>
      <c r="AV9" s="56">
        <f t="shared" si="12"/>
        <v>5275.4782199999991</v>
      </c>
      <c r="AW9" s="56">
        <f t="shared" si="5"/>
        <v>5728.4595000000027</v>
      </c>
      <c r="AX9" s="56">
        <f t="shared" si="5"/>
        <v>5944.1761599999882</v>
      </c>
      <c r="AY9" s="56">
        <f t="shared" si="6"/>
        <v>5480.9992700000075</v>
      </c>
      <c r="AZ9" s="56">
        <f t="shared" si="13"/>
        <v>3496.1514800000004</v>
      </c>
      <c r="BA9" s="56">
        <f t="shared" si="7"/>
        <v>4916.4297499999975</v>
      </c>
      <c r="BB9" s="56">
        <f t="shared" si="7"/>
        <v>5582.5353300000043</v>
      </c>
      <c r="BC9" s="56">
        <f t="shared" si="7"/>
        <v>6715.4426499999936</v>
      </c>
      <c r="BD9" s="57">
        <f t="shared" si="14"/>
        <v>4778.7584100000013</v>
      </c>
    </row>
    <row r="10" spans="2:56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5">SUM(J6:J9)</f>
        <v>146481</v>
      </c>
      <c r="K10" s="59">
        <f t="shared" si="15"/>
        <v>31111</v>
      </c>
      <c r="L10" s="59">
        <f t="shared" si="15"/>
        <v>60590</v>
      </c>
      <c r="M10" s="59">
        <f t="shared" si="15"/>
        <v>85631.862512646403</v>
      </c>
      <c r="N10" s="59">
        <f t="shared" si="15"/>
        <v>96993</v>
      </c>
      <c r="O10" s="59">
        <f t="shared" si="15"/>
        <v>21431</v>
      </c>
      <c r="P10" s="59">
        <f t="shared" si="15"/>
        <v>39705</v>
      </c>
      <c r="Q10" s="59">
        <f t="shared" si="15"/>
        <v>45364</v>
      </c>
      <c r="R10" s="59">
        <f t="shared" si="15"/>
        <v>34655</v>
      </c>
      <c r="S10" s="59">
        <f t="shared" si="15"/>
        <v>-15052</v>
      </c>
      <c r="T10" s="59">
        <f t="shared" si="15"/>
        <v>-37683</v>
      </c>
      <c r="U10" s="59">
        <f t="shared" si="15"/>
        <v>-43319</v>
      </c>
      <c r="V10" s="59">
        <f t="shared" si="15"/>
        <v>-43060</v>
      </c>
      <c r="W10" s="59">
        <f t="shared" si="15"/>
        <v>4502.1316200692108</v>
      </c>
      <c r="X10" s="59">
        <f t="shared" ref="X10:AD10" si="16">SUM(X6:X9)</f>
        <v>11216.379076651618</v>
      </c>
      <c r="Y10" s="59">
        <f t="shared" si="16"/>
        <v>19752.114562322633</v>
      </c>
      <c r="Z10" s="59">
        <f t="shared" si="16"/>
        <v>31271.659094822833</v>
      </c>
      <c r="AA10" s="59">
        <f t="shared" si="16"/>
        <v>18032.852373521033</v>
      </c>
      <c r="AB10" s="59">
        <f t="shared" si="16"/>
        <v>32667.83453157953</v>
      </c>
      <c r="AC10" s="59">
        <f t="shared" si="16"/>
        <v>39416.985565575575</v>
      </c>
      <c r="AD10" s="59">
        <f t="shared" si="16"/>
        <v>55586.84493978291</v>
      </c>
      <c r="AE10" s="60">
        <f t="shared" ref="AE10" si="17">SUM(AE6:AE9)</f>
        <v>20192.969482065935</v>
      </c>
      <c r="AF10" s="80">
        <f t="shared" si="0"/>
        <v>0.11978787735859031</v>
      </c>
      <c r="AH10" s="59">
        <f t="shared" ref="AH10:AO10" si="18">SUM(AH6:AH9)</f>
        <v>50445.488344397265</v>
      </c>
      <c r="AI10" s="59">
        <f t="shared" si="18"/>
        <v>37686.511655602735</v>
      </c>
      <c r="AJ10" s="59">
        <f t="shared" si="18"/>
        <v>31111</v>
      </c>
      <c r="AK10" s="59">
        <f>SUM(AK6:AK9)</f>
        <v>29479</v>
      </c>
      <c r="AL10" s="59">
        <f>SUM(AL6:AL9)</f>
        <v>25041.862512646403</v>
      </c>
      <c r="AM10" s="59">
        <f t="shared" si="18"/>
        <v>11361.137487353595</v>
      </c>
      <c r="AN10" s="59">
        <f t="shared" si="18"/>
        <v>21431</v>
      </c>
      <c r="AO10" s="59">
        <f t="shared" si="18"/>
        <v>18274</v>
      </c>
      <c r="AP10" s="59">
        <f t="shared" ref="AP10:AV10" si="19">SUM(AP6:AP9)</f>
        <v>5659</v>
      </c>
      <c r="AQ10" s="59">
        <f t="shared" si="19"/>
        <v>-10709</v>
      </c>
      <c r="AR10" s="59">
        <f t="shared" si="19"/>
        <v>-15052</v>
      </c>
      <c r="AS10" s="59">
        <f t="shared" si="19"/>
        <v>-22631</v>
      </c>
      <c r="AT10" s="59">
        <f t="shared" si="19"/>
        <v>-5636</v>
      </c>
      <c r="AU10" s="59">
        <f t="shared" si="19"/>
        <v>259</v>
      </c>
      <c r="AV10" s="59">
        <f t="shared" si="19"/>
        <v>4502.1316200692108</v>
      </c>
      <c r="AW10" s="59">
        <f t="shared" si="5"/>
        <v>6714.2474565824068</v>
      </c>
      <c r="AX10" s="59">
        <f t="shared" si="5"/>
        <v>8535.7354856710153</v>
      </c>
      <c r="AY10" s="59">
        <f t="shared" si="6"/>
        <v>11519.5445325002</v>
      </c>
      <c r="AZ10" s="59">
        <f t="shared" ref="AZ10:BC10" si="20">SUM(AZ6:AZ9)</f>
        <v>18032.852373521033</v>
      </c>
      <c r="BA10" s="59">
        <f t="shared" si="20"/>
        <v>14634.982158058499</v>
      </c>
      <c r="BB10" s="59">
        <f t="shared" si="20"/>
        <v>6749.1510339960423</v>
      </c>
      <c r="BC10" s="59">
        <f t="shared" si="20"/>
        <v>16169.859374207339</v>
      </c>
      <c r="BD10" s="60">
        <f t="shared" ref="BD10" si="21">SUM(BD6:BD9)</f>
        <v>20192.969482065935</v>
      </c>
    </row>
    <row r="11" spans="2:56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9"/>
      <c r="AF11" s="49"/>
      <c r="AG11" s="13"/>
    </row>
    <row r="12" spans="2:56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27"/>
      <c r="AF12" s="27" t="s">
        <v>46</v>
      </c>
      <c r="AG12" s="13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46</v>
      </c>
    </row>
    <row r="13" spans="2:56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13"/>
    </row>
    <row r="14" spans="2:56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9"/>
      <c r="AF14" s="49"/>
      <c r="AG14" s="13"/>
    </row>
    <row r="15" spans="2:56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47" t="s">
        <v>228</v>
      </c>
      <c r="AE15" s="74" t="s">
        <v>230</v>
      </c>
      <c r="AF15" s="82" t="s">
        <v>2</v>
      </c>
      <c r="AG15" s="13"/>
      <c r="AH15" s="47" t="s">
        <v>110</v>
      </c>
      <c r="AI15" s="47" t="s">
        <v>111</v>
      </c>
      <c r="AJ15" s="47" t="s">
        <v>112</v>
      </c>
      <c r="AK15" s="47" t="s">
        <v>113</v>
      </c>
      <c r="AL15" s="47" t="s">
        <v>114</v>
      </c>
      <c r="AM15" s="47" t="s">
        <v>115</v>
      </c>
      <c r="AN15" s="47" t="s">
        <v>116</v>
      </c>
      <c r="AO15" s="47" t="s">
        <v>117</v>
      </c>
      <c r="AP15" s="47" t="s">
        <v>118</v>
      </c>
      <c r="AQ15" s="47" t="s">
        <v>119</v>
      </c>
      <c r="AR15" s="47" t="s">
        <v>62</v>
      </c>
      <c r="AS15" s="47" t="s">
        <v>63</v>
      </c>
      <c r="AT15" s="47" t="s">
        <v>64</v>
      </c>
      <c r="AU15" s="47" t="s">
        <v>65</v>
      </c>
      <c r="AV15" s="47" t="s">
        <v>189</v>
      </c>
      <c r="AW15" s="47" t="s">
        <v>213</v>
      </c>
      <c r="AX15" s="47" t="s">
        <v>217</v>
      </c>
      <c r="AY15" s="47" t="s">
        <v>219</v>
      </c>
      <c r="AZ15" s="47" t="s">
        <v>221</v>
      </c>
      <c r="BA15" s="47" t="s">
        <v>224</v>
      </c>
      <c r="BB15" s="47" t="s">
        <v>227</v>
      </c>
      <c r="BC15" s="47" t="s">
        <v>229</v>
      </c>
      <c r="BD15" s="74" t="s">
        <v>232</v>
      </c>
    </row>
    <row r="16" spans="2:56" s="10" customFormat="1" x14ac:dyDescent="0.25">
      <c r="D16" s="48" t="s">
        <v>60</v>
      </c>
      <c r="E16" s="49">
        <f>-E7/E6</f>
        <v>0.66348095601937873</v>
      </c>
      <c r="F16" s="49">
        <f t="shared" ref="F16" si="22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23">-J7/J6</f>
        <v>0.61836155752353494</v>
      </c>
      <c r="K16" s="49">
        <f t="shared" si="23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24">-P7/P6</f>
        <v>0.71950557684051941</v>
      </c>
      <c r="Q16" s="49">
        <f t="shared" ref="Q16:AD16" si="25">-Q7/Q6</f>
        <v>0.7455398358160541</v>
      </c>
      <c r="R16" s="49">
        <f t="shared" si="25"/>
        <v>0.77704247303120499</v>
      </c>
      <c r="S16" s="49">
        <f t="shared" si="25"/>
        <v>0.88829944002357797</v>
      </c>
      <c r="T16" s="49">
        <f t="shared" si="25"/>
        <v>0.92996369569013371</v>
      </c>
      <c r="U16" s="49">
        <f t="shared" si="25"/>
        <v>0.90865914856071472</v>
      </c>
      <c r="V16" s="49">
        <f t="shared" si="25"/>
        <v>0.88596419048010877</v>
      </c>
      <c r="W16" s="49">
        <f t="shared" si="25"/>
        <v>0.80355216236184657</v>
      </c>
      <c r="X16" s="49">
        <f t="shared" si="25"/>
        <v>0.80384580897930202</v>
      </c>
      <c r="Y16" s="49">
        <f t="shared" si="25"/>
        <v>0.80174408575172362</v>
      </c>
      <c r="Z16" s="49">
        <f t="shared" si="25"/>
        <v>0.7952230728994153</v>
      </c>
      <c r="AA16" s="49">
        <f t="shared" si="25"/>
        <v>0.74806457865131193</v>
      </c>
      <c r="AB16" s="49">
        <f t="shared" si="25"/>
        <v>0.75805774583966201</v>
      </c>
      <c r="AC16" s="49">
        <f t="shared" si="25"/>
        <v>0.77632595854219899</v>
      </c>
      <c r="AD16" s="49">
        <f t="shared" si="25"/>
        <v>0.77606440995106396</v>
      </c>
      <c r="AE16" s="50">
        <f t="shared" ref="AE16" si="26">-AE7/AE6</f>
        <v>0.76809464117222814</v>
      </c>
      <c r="AF16" s="69">
        <f>(AE16-AA16)*100</f>
        <v>2.0030062520916214</v>
      </c>
      <c r="AH16" s="49">
        <f t="shared" ref="AH16:AK16" si="27">-AH7/AH6</f>
        <v>0.55298761665306551</v>
      </c>
      <c r="AI16" s="49">
        <f t="shared" si="27"/>
        <v>0.60800340091503535</v>
      </c>
      <c r="AJ16" s="49">
        <f t="shared" si="27"/>
        <v>0.65592576514000434</v>
      </c>
      <c r="AK16" s="49">
        <f t="shared" si="27"/>
        <v>0.66406828002530482</v>
      </c>
      <c r="AL16" s="49">
        <f>-AL7/AL6</f>
        <v>0.68908397512763253</v>
      </c>
      <c r="AM16" s="49">
        <f t="shared" ref="AM16:AP16" si="28">-AM7/AM6</f>
        <v>0.7672759570449641</v>
      </c>
      <c r="AN16" s="49">
        <f t="shared" si="28"/>
        <v>0.70204208426663184</v>
      </c>
      <c r="AO16" s="49">
        <f t="shared" si="28"/>
        <v>0.73665200500850803</v>
      </c>
      <c r="AP16" s="49">
        <f t="shared" si="28"/>
        <v>0.79610082482551769</v>
      </c>
      <c r="AQ16" s="49">
        <f>-AQ7/AQ6</f>
        <v>0.86900624349635791</v>
      </c>
      <c r="AR16" s="49">
        <f>-AR7/AR6</f>
        <v>0.88829944002357797</v>
      </c>
      <c r="AS16" s="49">
        <f>-AS7/AS6</f>
        <v>0.97083529089848364</v>
      </c>
      <c r="AT16" s="49">
        <f>-AT7/AT6</f>
        <v>0.86707666325850641</v>
      </c>
      <c r="AU16" s="49">
        <f>-AU7/AU6</f>
        <v>0.81928058573931362</v>
      </c>
      <c r="AV16" s="49">
        <f t="shared" ref="AV16" si="29">-AV7/AV6</f>
        <v>0.80355216236184657</v>
      </c>
      <c r="AW16" s="49">
        <f t="shared" ref="AW16:BC16" si="30">-AW7/AW6</f>
        <v>0.80413810540350805</v>
      </c>
      <c r="AX16" s="49">
        <f t="shared" si="30"/>
        <v>0.79765221478304793</v>
      </c>
      <c r="AY16" s="49">
        <f t="shared" si="30"/>
        <v>0.77631749730137123</v>
      </c>
      <c r="AZ16" s="49">
        <f t="shared" si="30"/>
        <v>0.74806457865131193</v>
      </c>
      <c r="BA16" s="49">
        <f t="shared" si="30"/>
        <v>0.76766946977995276</v>
      </c>
      <c r="BB16" s="49">
        <f t="shared" si="30"/>
        <v>0.81063911360986673</v>
      </c>
      <c r="BC16" s="49">
        <f t="shared" si="30"/>
        <v>0.77533287979853938</v>
      </c>
      <c r="BD16" s="50">
        <f t="shared" ref="BD16" si="31">-BD7/BD6</f>
        <v>0.76809464117222814</v>
      </c>
    </row>
    <row r="17" spans="4:56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32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33">-(J8+J9)/J6</f>
        <v>0.18700646421429568</v>
      </c>
      <c r="K17" s="49">
        <f t="shared" si="33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34">-(P8+P9)/P6</f>
        <v>0.1732911054051208</v>
      </c>
      <c r="Q17" s="49">
        <f t="shared" ref="Q17:AD17" si="35">-(Q8+Q9)/Q6</f>
        <v>0.1736086604714496</v>
      </c>
      <c r="R17" s="49">
        <f t="shared" si="35"/>
        <v>0.17695193540764498</v>
      </c>
      <c r="S17" s="49">
        <f t="shared" si="35"/>
        <v>0.19091827712517367</v>
      </c>
      <c r="T17" s="49">
        <f t="shared" si="35"/>
        <v>0.16824558705867329</v>
      </c>
      <c r="U17" s="49">
        <f t="shared" si="35"/>
        <v>0.16599171445902725</v>
      </c>
      <c r="V17" s="49">
        <f t="shared" si="35"/>
        <v>0.16939836612315534</v>
      </c>
      <c r="W17" s="49">
        <f t="shared" si="35"/>
        <v>0.17345996425732899</v>
      </c>
      <c r="X17" s="49">
        <f t="shared" si="35"/>
        <v>0.16758477331848662</v>
      </c>
      <c r="Y17" s="49">
        <f t="shared" si="35"/>
        <v>0.16501740867425607</v>
      </c>
      <c r="Z17" s="49">
        <f t="shared" si="35"/>
        <v>0.16564955979544627</v>
      </c>
      <c r="AA17" s="49">
        <f t="shared" si="35"/>
        <v>0.16378789561208859</v>
      </c>
      <c r="AB17" s="49">
        <f t="shared" si="35"/>
        <v>0.16365286579823937</v>
      </c>
      <c r="AC17" s="49">
        <f t="shared" si="35"/>
        <v>0.16202948455270877</v>
      </c>
      <c r="AD17" s="49">
        <f t="shared" si="35"/>
        <v>0.15989845451101237</v>
      </c>
      <c r="AE17" s="50">
        <f t="shared" ref="AE17" si="36">-(AE8+AE9)/AE6</f>
        <v>0.14371323347461862</v>
      </c>
      <c r="AF17" s="69">
        <f>(AE17-AA17)*100</f>
        <v>-2.0074662137469974</v>
      </c>
      <c r="AH17" s="49">
        <f t="shared" ref="AH17:AK17" si="37">-(AH8+AH9)/AH6</f>
        <v>0.1793044317390641</v>
      </c>
      <c r="AI17" s="49">
        <f t="shared" si="37"/>
        <v>0.19366242777243786</v>
      </c>
      <c r="AJ17" s="49">
        <f t="shared" si="37"/>
        <v>0.17524962014326026</v>
      </c>
      <c r="AK17" s="49">
        <f t="shared" si="37"/>
        <v>0.17788940951931634</v>
      </c>
      <c r="AL17" s="49">
        <f>-(AL8+AL9)/AL6</f>
        <v>0.17809919284817022</v>
      </c>
      <c r="AM17" s="49">
        <f t="shared" ref="AM17:AP17" si="38">-(AM8+AM9)/AM6</f>
        <v>0.1722737002778848</v>
      </c>
      <c r="AN17" s="49">
        <f t="shared" si="38"/>
        <v>0.18116072353111085</v>
      </c>
      <c r="AO17" s="49">
        <f t="shared" si="38"/>
        <v>0.16556436681970441</v>
      </c>
      <c r="AP17" s="49">
        <f t="shared" si="38"/>
        <v>0.17422538239288543</v>
      </c>
      <c r="AQ17" s="49">
        <f>-(AQ8+AQ9)/AQ6</f>
        <v>0.18671175858480749</v>
      </c>
      <c r="AR17" s="49">
        <f>-(AR8+AR9)/AR6</f>
        <v>0.19091827712517367</v>
      </c>
      <c r="AS17" s="49">
        <f>-(AS8+AS9)/AS6</f>
        <v>0.14600424382915231</v>
      </c>
      <c r="AT17" s="49">
        <f>-(AT8+AT9)/AT6</f>
        <v>0.16159257733217355</v>
      </c>
      <c r="AU17" s="49">
        <f>-(AU8+AU9)/AU6</f>
        <v>0.17940798201464347</v>
      </c>
      <c r="AV17" s="49">
        <f t="shared" ref="AV17" si="39">-(AV8+AV9)/AV6</f>
        <v>0.17345996425732899</v>
      </c>
      <c r="AW17" s="49">
        <f t="shared" ref="AW17:BC17" si="40">-(AW8+AW9)/AW6</f>
        <v>0.16173659662967649</v>
      </c>
      <c r="AX17" s="49">
        <f t="shared" si="40"/>
        <v>0.1600189746673979</v>
      </c>
      <c r="AY17" s="49">
        <f t="shared" si="40"/>
        <v>0.16748227828285406</v>
      </c>
      <c r="AZ17" s="49">
        <f t="shared" si="40"/>
        <v>0.16378789561208859</v>
      </c>
      <c r="BA17" s="49">
        <f t="shared" si="40"/>
        <v>0.16352299012719682</v>
      </c>
      <c r="BB17" s="49">
        <f t="shared" si="40"/>
        <v>0.15898029012308071</v>
      </c>
      <c r="BC17" s="49">
        <f t="shared" si="40"/>
        <v>0.15393813667992937</v>
      </c>
      <c r="BD17" s="50">
        <f t="shared" ref="BD17" si="41">-(BD8+BD9)/BD6</f>
        <v>0.14371323347461862</v>
      </c>
    </row>
    <row r="18" spans="4:56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42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43">-(J7+J8+J9)/J6</f>
        <v>0.80536802173783062</v>
      </c>
      <c r="K18" s="51">
        <f t="shared" si="43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44">-(P7+P8+P9)/P6</f>
        <v>0.89279668224564013</v>
      </c>
      <c r="Q18" s="51">
        <f t="shared" ref="Q18:AD18" si="45">-(Q7+Q8+Q9)/Q6</f>
        <v>0.91914849628750372</v>
      </c>
      <c r="R18" s="51">
        <f t="shared" si="45"/>
        <v>0.95399440843884997</v>
      </c>
      <c r="S18" s="51">
        <f t="shared" si="45"/>
        <v>1.0792177171487516</v>
      </c>
      <c r="T18" s="51">
        <f t="shared" si="45"/>
        <v>1.098209282748807</v>
      </c>
      <c r="U18" s="51">
        <f t="shared" si="45"/>
        <v>1.074650863019742</v>
      </c>
      <c r="V18" s="51">
        <f t="shared" si="45"/>
        <v>1.0553625566032641</v>
      </c>
      <c r="W18" s="51">
        <f t="shared" si="45"/>
        <v>0.97701212661917558</v>
      </c>
      <c r="X18" s="51">
        <f t="shared" si="45"/>
        <v>0.97143058229778878</v>
      </c>
      <c r="Y18" s="51">
        <f t="shared" si="45"/>
        <v>0.96676149442597981</v>
      </c>
      <c r="Z18" s="51">
        <f t="shared" si="45"/>
        <v>0.96087263269486156</v>
      </c>
      <c r="AA18" s="51">
        <f t="shared" si="45"/>
        <v>0.91185247426340055</v>
      </c>
      <c r="AB18" s="51">
        <f t="shared" si="45"/>
        <v>0.92171061163790136</v>
      </c>
      <c r="AC18" s="51">
        <f t="shared" si="45"/>
        <v>0.93835544309490782</v>
      </c>
      <c r="AD18" s="51">
        <f t="shared" si="45"/>
        <v>0.93596286446207644</v>
      </c>
      <c r="AE18" s="52">
        <f t="shared" ref="AE18" si="46">-(AE7+AE8+AE9)/AE6</f>
        <v>0.91180787464684676</v>
      </c>
      <c r="AF18" s="83">
        <f>(AE18-AA18)*100</f>
        <v>-4.4599616553786525E-3</v>
      </c>
      <c r="AH18" s="51">
        <f t="shared" ref="AH18:AK18" si="47">-(AH7+AH8+AH9)/AH6</f>
        <v>0.73229204839212969</v>
      </c>
      <c r="AI18" s="51">
        <f t="shared" si="47"/>
        <v>0.80166582868747316</v>
      </c>
      <c r="AJ18" s="51">
        <f t="shared" si="47"/>
        <v>0.83117538528326462</v>
      </c>
      <c r="AK18" s="51">
        <f t="shared" si="47"/>
        <v>0.84195768954462114</v>
      </c>
      <c r="AL18" s="51">
        <f>-(AL7+AL8+AL9)/AL6</f>
        <v>0.86718316797580264</v>
      </c>
      <c r="AM18" s="51">
        <f t="shared" ref="AM18:AP18" si="48">-(AM7+AM8+AM9)/AM6</f>
        <v>0.93954965732284901</v>
      </c>
      <c r="AN18" s="51">
        <f t="shared" si="48"/>
        <v>0.88320280779774263</v>
      </c>
      <c r="AO18" s="51">
        <f t="shared" si="48"/>
        <v>0.90221637182821246</v>
      </c>
      <c r="AP18" s="51">
        <f t="shared" si="48"/>
        <v>0.97032620721840313</v>
      </c>
      <c r="AQ18" s="51">
        <f>-(AQ7+AQ8+AQ9)/AQ6</f>
        <v>1.0557180020811654</v>
      </c>
      <c r="AR18" s="51">
        <f>-(AR7+AR8+AR9)/AR6</f>
        <v>1.0792177171487516</v>
      </c>
      <c r="AS18" s="51">
        <f>-(AS7+AS8+AS9)/AS6</f>
        <v>1.1168395347276361</v>
      </c>
      <c r="AT18" s="51">
        <f>-(AT7+AT8+AT9)/AT6</f>
        <v>1.0286692405906799</v>
      </c>
      <c r="AU18" s="51">
        <f>-(AU7+AU8+AU9)/AU6</f>
        <v>0.99868856775395709</v>
      </c>
      <c r="AV18" s="51">
        <f t="shared" ref="AV18" si="49">-(AV7+AV8+AV9)/AV6</f>
        <v>0.97701212661917558</v>
      </c>
      <c r="AW18" s="51">
        <f t="shared" ref="AW18:BC18" si="50">-(AW7+AW8+AW9)/AW6</f>
        <v>0.96587470203318448</v>
      </c>
      <c r="AX18" s="51">
        <f t="shared" si="50"/>
        <v>0.95767118945044571</v>
      </c>
      <c r="AY18" s="51">
        <f t="shared" si="50"/>
        <v>0.94379977558422534</v>
      </c>
      <c r="AZ18" s="51">
        <f t="shared" si="50"/>
        <v>0.91185247426340055</v>
      </c>
      <c r="BA18" s="51">
        <f t="shared" si="50"/>
        <v>0.93119245990714949</v>
      </c>
      <c r="BB18" s="51">
        <f t="shared" si="50"/>
        <v>0.96961940373294742</v>
      </c>
      <c r="BC18" s="51">
        <f t="shared" si="50"/>
        <v>0.92927101647846888</v>
      </c>
      <c r="BD18" s="52">
        <f t="shared" ref="BD18" si="51">-(BD7+BD8+BD9)/BD6</f>
        <v>0.91180787464684676</v>
      </c>
    </row>
    <row r="19" spans="4:56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45"/>
    </row>
    <row r="20" spans="4:56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1" max="1048575" man="1"/>
  </colBreaks>
  <ignoredErrors>
    <ignoredError sqref="AJ5:AR10 AV5:AV10 AZ5:AZ10" formula="1"/>
    <ignoredError sqref="E10:R10 S10:AE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hidden="1" customWidth="1" outlineLevel="1" collapsed="1"/>
    <col min="22" max="22" width="11" style="91" customWidth="1" collapsed="1"/>
    <col min="23" max="23" width="11" style="91" hidden="1" customWidth="1" outlineLevel="1"/>
    <col min="24" max="25" width="11" style="91" hidden="1" customWidth="1" outlineLevel="1" collapsed="1"/>
    <col min="26" max="26" width="11" style="91" customWidth="1" collapsed="1"/>
    <col min="27" max="27" width="11" style="91" customWidth="1"/>
    <col min="28" max="29" width="11" style="91" hidden="1" customWidth="1" outlineLevel="1"/>
    <col min="30" max="30" width="11" style="91" customWidth="1" collapsed="1"/>
    <col min="31" max="31" width="11" style="91" customWidth="1"/>
    <col min="32" max="32" width="11" style="73" customWidth="1"/>
    <col min="33" max="33" width="3" style="13" customWidth="1"/>
    <col min="34" max="16384" width="10.85546875" style="73"/>
  </cols>
  <sheetData>
    <row r="1" spans="2:56" ht="16.5" customHeight="1" x14ac:dyDescent="0.2"/>
    <row r="2" spans="2:56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14"/>
      <c r="AH2" s="14" t="s">
        <v>44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47" t="s">
        <v>228</v>
      </c>
      <c r="AE4" s="74" t="s">
        <v>230</v>
      </c>
      <c r="AF4" s="93" t="s">
        <v>0</v>
      </c>
      <c r="AG4" s="13"/>
      <c r="AH4" s="47" t="s">
        <v>110</v>
      </c>
      <c r="AI4" s="47" t="s">
        <v>111</v>
      </c>
      <c r="AJ4" s="47" t="s">
        <v>112</v>
      </c>
      <c r="AK4" s="47" t="s">
        <v>113</v>
      </c>
      <c r="AL4" s="47" t="s">
        <v>114</v>
      </c>
      <c r="AM4" s="47" t="s">
        <v>115</v>
      </c>
      <c r="AN4" s="47" t="s">
        <v>116</v>
      </c>
      <c r="AO4" s="47" t="s">
        <v>117</v>
      </c>
      <c r="AP4" s="47" t="s">
        <v>118</v>
      </c>
      <c r="AQ4" s="47" t="s">
        <v>119</v>
      </c>
      <c r="AR4" s="47" t="s">
        <v>62</v>
      </c>
      <c r="AS4" s="47" t="s">
        <v>63</v>
      </c>
      <c r="AT4" s="47" t="s">
        <v>64</v>
      </c>
      <c r="AU4" s="47" t="s">
        <v>65</v>
      </c>
      <c r="AV4" s="47" t="s">
        <v>189</v>
      </c>
      <c r="AW4" s="47" t="s">
        <v>213</v>
      </c>
      <c r="AX4" s="47" t="s">
        <v>217</v>
      </c>
      <c r="AY4" s="47" t="s">
        <v>219</v>
      </c>
      <c r="AZ4" s="47" t="s">
        <v>221</v>
      </c>
      <c r="BA4" s="47" t="s">
        <v>224</v>
      </c>
      <c r="BB4" s="47" t="s">
        <v>227</v>
      </c>
      <c r="BC4" s="47" t="s">
        <v>229</v>
      </c>
      <c r="BD4" s="74" t="s">
        <v>232</v>
      </c>
    </row>
    <row r="5" spans="2:56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6">
        <v>117010.78094000001</v>
      </c>
      <c r="Z5" s="76">
        <v>157858.10019</v>
      </c>
      <c r="AA5" s="76">
        <v>42393.607040000003</v>
      </c>
      <c r="AB5" s="76">
        <v>84519.458989999985</v>
      </c>
      <c r="AC5" s="76">
        <v>125558.24246999998</v>
      </c>
      <c r="AD5" s="76">
        <v>167841.62311000002</v>
      </c>
      <c r="AE5" s="77">
        <v>43483.361190000003</v>
      </c>
      <c r="AF5" s="78">
        <f>+AE5/AA5-1</f>
        <v>2.5705624646937375E-2</v>
      </c>
      <c r="AH5" s="76">
        <f>I5-H5</f>
        <v>29837.838810000001</v>
      </c>
      <c r="AI5" s="76">
        <f>J5-I5</f>
        <v>31109.832219999997</v>
      </c>
      <c r="AJ5" s="76">
        <f>K5</f>
        <v>31764</v>
      </c>
      <c r="AK5" s="76">
        <f t="shared" ref="AK5:AK9" si="0">L5-K5</f>
        <v>33015</v>
      </c>
      <c r="AL5" s="76">
        <f>M5-L5</f>
        <v>32265.810309999986</v>
      </c>
      <c r="AM5" s="76">
        <f t="shared" ref="AM5:AM9" si="1">N5-M5</f>
        <v>34198.189690000014</v>
      </c>
      <c r="AN5" s="76">
        <f>O5</f>
        <v>35256</v>
      </c>
      <c r="AO5" s="76">
        <f t="shared" ref="AO5:AQ7" si="2">P5-O5</f>
        <v>36411</v>
      </c>
      <c r="AP5" s="76">
        <f t="shared" si="2"/>
        <v>35229</v>
      </c>
      <c r="AQ5" s="76">
        <f t="shared" si="2"/>
        <v>36817</v>
      </c>
      <c r="AR5" s="76">
        <f>S5</f>
        <v>37607</v>
      </c>
      <c r="AS5" s="76">
        <f t="shared" ref="AS5:AU9" si="3">T5-S5</f>
        <v>37676</v>
      </c>
      <c r="AT5" s="76">
        <f t="shared" si="3"/>
        <v>36321</v>
      </c>
      <c r="AU5" s="76">
        <f t="shared" si="3"/>
        <v>37826</v>
      </c>
      <c r="AV5" s="76">
        <f>W5</f>
        <v>39270.26496</v>
      </c>
      <c r="AW5" s="76">
        <f t="shared" ref="AW5:AX10" si="4">X5-W5</f>
        <v>39357.785490000009</v>
      </c>
      <c r="AX5" s="76">
        <f t="shared" si="4"/>
        <v>38382.730490000002</v>
      </c>
      <c r="AY5" s="76">
        <f t="shared" ref="AY5:AY10" si="5">Z5-Y5</f>
        <v>40847.319249999986</v>
      </c>
      <c r="AZ5" s="76">
        <f>AA5</f>
        <v>42393.607040000003</v>
      </c>
      <c r="BA5" s="76">
        <f t="shared" ref="BA5:BC9" si="6">AB5-AA5</f>
        <v>42125.851949999982</v>
      </c>
      <c r="BB5" s="76">
        <f t="shared" si="6"/>
        <v>41038.783479999998</v>
      </c>
      <c r="BC5" s="76">
        <f t="shared" si="6"/>
        <v>42283.380640000032</v>
      </c>
      <c r="BD5" s="77">
        <f>AE5</f>
        <v>43483.361190000003</v>
      </c>
    </row>
    <row r="6" spans="2:56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6">
        <v>110641.99561000001</v>
      </c>
      <c r="Z6" s="76">
        <v>149109.21081999998</v>
      </c>
      <c r="AA6" s="76">
        <v>38283.533949999997</v>
      </c>
      <c r="AB6" s="76">
        <v>77640.151599999983</v>
      </c>
      <c r="AC6" s="76">
        <v>118103.88590000001</v>
      </c>
      <c r="AD6" s="76">
        <v>159050.68817999994</v>
      </c>
      <c r="AE6" s="77">
        <v>40297.642850000011</v>
      </c>
      <c r="AF6" s="78">
        <f>+AE6/AA6-1</f>
        <v>5.261031812346606E-2</v>
      </c>
      <c r="AH6" s="76">
        <f>I6-H6</f>
        <v>28281.065399999949</v>
      </c>
      <c r="AI6" s="76">
        <f t="shared" ref="AI6:AI9" si="7">J6-I6</f>
        <v>28980.934600000051</v>
      </c>
      <c r="AJ6" s="76">
        <f t="shared" ref="AJ6:AJ9" si="8">K6</f>
        <v>28726</v>
      </c>
      <c r="AK6" s="76">
        <f t="shared" si="0"/>
        <v>29440</v>
      </c>
      <c r="AL6" s="76">
        <f>M6-L6</f>
        <v>30122.386050000001</v>
      </c>
      <c r="AM6" s="76">
        <f t="shared" si="1"/>
        <v>30778.613949999999</v>
      </c>
      <c r="AN6" s="76">
        <f t="shared" ref="AN6:AN9" si="9">O6</f>
        <v>30892</v>
      </c>
      <c r="AO6" s="76">
        <f t="shared" si="2"/>
        <v>32129</v>
      </c>
      <c r="AP6" s="76">
        <f t="shared" si="2"/>
        <v>33221</v>
      </c>
      <c r="AQ6" s="76">
        <f t="shared" si="2"/>
        <v>33557</v>
      </c>
      <c r="AR6" s="76">
        <f t="shared" ref="AR6:AR9" si="10">S6</f>
        <v>34433</v>
      </c>
      <c r="AS6" s="76">
        <f t="shared" si="3"/>
        <v>35408</v>
      </c>
      <c r="AT6" s="76">
        <f t="shared" si="3"/>
        <v>35915</v>
      </c>
      <c r="AU6" s="76">
        <f t="shared" si="3"/>
        <v>36200</v>
      </c>
      <c r="AV6" s="76">
        <f t="shared" ref="AV6:AV9" si="11">W6</f>
        <v>35990.438099999985</v>
      </c>
      <c r="AW6" s="76">
        <f t="shared" si="4"/>
        <v>36869.822930000009</v>
      </c>
      <c r="AX6" s="76">
        <f t="shared" si="4"/>
        <v>37781.734580000018</v>
      </c>
      <c r="AY6" s="76">
        <f t="shared" si="5"/>
        <v>38467.215209999966</v>
      </c>
      <c r="AZ6" s="76">
        <f t="shared" ref="AZ6:AZ9" si="12">AA6</f>
        <v>38283.533949999997</v>
      </c>
      <c r="BA6" s="76">
        <f t="shared" si="6"/>
        <v>39356.617649999986</v>
      </c>
      <c r="BB6" s="76">
        <f t="shared" si="6"/>
        <v>40463.734300000026</v>
      </c>
      <c r="BC6" s="76">
        <f t="shared" si="6"/>
        <v>40946.802279999931</v>
      </c>
      <c r="BD6" s="77">
        <f t="shared" ref="BD6:BD9" si="13">AE6</f>
        <v>40297.642850000011</v>
      </c>
    </row>
    <row r="7" spans="2:56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6">
        <v>-66804.960733050015</v>
      </c>
      <c r="Z7" s="56">
        <v>-91674.896651449526</v>
      </c>
      <c r="AA7" s="56">
        <v>-26575.485095739081</v>
      </c>
      <c r="AB7" s="56">
        <v>-50342.544595279185</v>
      </c>
      <c r="AC7" s="56">
        <v>-75223.525944802284</v>
      </c>
      <c r="AD7" s="56">
        <v>-101141.82516767312</v>
      </c>
      <c r="AE7" s="57">
        <v>-27338.966091652732</v>
      </c>
      <c r="AF7" s="79">
        <f>+AE7/AA7-1</f>
        <v>2.8728769885598915E-2</v>
      </c>
      <c r="AH7" s="56">
        <f>I7-H7</f>
        <v>-17604.703035557985</v>
      </c>
      <c r="AI7" s="56">
        <f t="shared" si="7"/>
        <v>-17683.296964442015</v>
      </c>
      <c r="AJ7" s="56">
        <f t="shared" si="8"/>
        <v>-18299</v>
      </c>
      <c r="AK7" s="56">
        <f t="shared" si="0"/>
        <v>-15136</v>
      </c>
      <c r="AL7" s="56">
        <f>M7-L7</f>
        <v>-16339.005104250042</v>
      </c>
      <c r="AM7" s="56">
        <f t="shared" si="1"/>
        <v>-16228.994895749958</v>
      </c>
      <c r="AN7" s="56">
        <f t="shared" si="9"/>
        <v>-18499</v>
      </c>
      <c r="AO7" s="56">
        <f t="shared" si="2"/>
        <v>-17684</v>
      </c>
      <c r="AP7" s="56">
        <f t="shared" si="2"/>
        <v>-22754</v>
      </c>
      <c r="AQ7" s="56">
        <f t="shared" si="2"/>
        <v>-22903</v>
      </c>
      <c r="AR7" s="56">
        <f t="shared" si="10"/>
        <v>-24748</v>
      </c>
      <c r="AS7" s="56">
        <f t="shared" si="3"/>
        <v>-21431</v>
      </c>
      <c r="AT7" s="56">
        <f t="shared" si="3"/>
        <v>-25862</v>
      </c>
      <c r="AU7" s="56">
        <f t="shared" si="3"/>
        <v>-25273</v>
      </c>
      <c r="AV7" s="56">
        <f t="shared" si="11"/>
        <v>-25234.137880850016</v>
      </c>
      <c r="AW7" s="56">
        <f t="shared" si="4"/>
        <v>-17989.579144149997</v>
      </c>
      <c r="AX7" s="56">
        <f t="shared" si="4"/>
        <v>-23581.243708050002</v>
      </c>
      <c r="AY7" s="56">
        <f t="shared" si="5"/>
        <v>-24869.935918399511</v>
      </c>
      <c r="AZ7" s="56">
        <f t="shared" si="12"/>
        <v>-26575.485095739081</v>
      </c>
      <c r="BA7" s="56">
        <f t="shared" si="6"/>
        <v>-23767.059499540104</v>
      </c>
      <c r="BB7" s="56">
        <f t="shared" si="6"/>
        <v>-24880.981349523099</v>
      </c>
      <c r="BC7" s="56">
        <f t="shared" si="6"/>
        <v>-25918.299222870832</v>
      </c>
      <c r="BD7" s="57">
        <f t="shared" si="13"/>
        <v>-27338.966091652732</v>
      </c>
    </row>
    <row r="8" spans="2:56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6">
        <v>-31457.188437413999</v>
      </c>
      <c r="Z8" s="56">
        <v>-41688.781297540459</v>
      </c>
      <c r="AA8" s="56">
        <v>-10394.57986698413</v>
      </c>
      <c r="AB8" s="56">
        <v>-21271.662601580465</v>
      </c>
      <c r="AC8" s="56">
        <v>-32066.866112772175</v>
      </c>
      <c r="AD8" s="56">
        <v>-42360.376177551792</v>
      </c>
      <c r="AE8" s="57">
        <v>-10532.88682055254</v>
      </c>
      <c r="AF8" s="79">
        <f>+AE8/AA8-1</f>
        <v>1.3305680011917342E-2</v>
      </c>
      <c r="AH8" s="56">
        <f>I8-H8</f>
        <v>-11249.286957193995</v>
      </c>
      <c r="AI8" s="56">
        <f t="shared" si="7"/>
        <v>-9945.7130428060045</v>
      </c>
      <c r="AJ8" s="56">
        <f t="shared" si="8"/>
        <v>-9867</v>
      </c>
      <c r="AK8" s="56">
        <f t="shared" si="0"/>
        <v>-9683</v>
      </c>
      <c r="AL8" s="56">
        <f>M8-L8</f>
        <v>-10282.20227503881</v>
      </c>
      <c r="AM8" s="56">
        <f t="shared" si="1"/>
        <v>-10055.79772496119</v>
      </c>
      <c r="AN8" s="56">
        <f t="shared" si="9"/>
        <v>-9994</v>
      </c>
      <c r="AO8" s="56">
        <f t="shared" ref="AO8:AO9" si="14">P8-O8</f>
        <v>-10411</v>
      </c>
      <c r="AP8" s="56">
        <f>Q8-P8</f>
        <v>-10380</v>
      </c>
      <c r="AQ8" s="56">
        <f>R8-Q8</f>
        <v>-11204</v>
      </c>
      <c r="AR8" s="56">
        <f t="shared" si="10"/>
        <v>-9156</v>
      </c>
      <c r="AS8" s="56">
        <f t="shared" si="3"/>
        <v>-11719</v>
      </c>
      <c r="AT8" s="56">
        <f t="shared" si="3"/>
        <v>-10446</v>
      </c>
      <c r="AU8" s="56">
        <f t="shared" si="3"/>
        <v>-10541</v>
      </c>
      <c r="AV8" s="56">
        <f t="shared" si="11"/>
        <v>-9902.767924062804</v>
      </c>
      <c r="AW8" s="56">
        <f t="shared" si="4"/>
        <v>-10821.938715162798</v>
      </c>
      <c r="AX8" s="56">
        <f t="shared" si="4"/>
        <v>-10732.481798188397</v>
      </c>
      <c r="AY8" s="56">
        <f t="shared" si="5"/>
        <v>-10231.59286012646</v>
      </c>
      <c r="AZ8" s="56">
        <f t="shared" si="12"/>
        <v>-10394.57986698413</v>
      </c>
      <c r="BA8" s="56">
        <f t="shared" si="6"/>
        <v>-10877.082734596335</v>
      </c>
      <c r="BB8" s="56">
        <f t="shared" si="6"/>
        <v>-10795.20351119171</v>
      </c>
      <c r="BC8" s="56">
        <f t="shared" si="6"/>
        <v>-10293.510064779617</v>
      </c>
      <c r="BD8" s="57">
        <f t="shared" si="13"/>
        <v>-10532.88682055254</v>
      </c>
    </row>
    <row r="9" spans="2:56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7">
        <v>0</v>
      </c>
      <c r="AF9" s="79" t="s">
        <v>7</v>
      </c>
      <c r="AH9" s="56">
        <f>I9-H9</f>
        <v>-95.856999999999999</v>
      </c>
      <c r="AI9" s="56">
        <f t="shared" si="7"/>
        <v>-95.143000000000001</v>
      </c>
      <c r="AJ9" s="56">
        <f t="shared" si="8"/>
        <v>-60</v>
      </c>
      <c r="AK9" s="56">
        <f t="shared" si="0"/>
        <v>-31</v>
      </c>
      <c r="AL9" s="56">
        <f>M9-L9</f>
        <v>-0.85030000000000427</v>
      </c>
      <c r="AM9" s="56">
        <f t="shared" si="1"/>
        <v>86.850300000000004</v>
      </c>
      <c r="AN9" s="56">
        <f t="shared" si="9"/>
        <v>-61</v>
      </c>
      <c r="AO9" s="56">
        <f t="shared" si="14"/>
        <v>-60</v>
      </c>
      <c r="AP9" s="56">
        <f>Q9-P9</f>
        <v>-60</v>
      </c>
      <c r="AQ9" s="56">
        <f>R9-Q9</f>
        <v>-60</v>
      </c>
      <c r="AR9" s="56">
        <f t="shared" si="10"/>
        <v>0</v>
      </c>
      <c r="AS9" s="56">
        <f t="shared" si="3"/>
        <v>0</v>
      </c>
      <c r="AT9" s="56">
        <f t="shared" si="3"/>
        <v>0</v>
      </c>
      <c r="AU9" s="56">
        <f t="shared" si="3"/>
        <v>0</v>
      </c>
      <c r="AV9" s="56">
        <f t="shared" si="11"/>
        <v>0</v>
      </c>
      <c r="AW9" s="56">
        <f t="shared" si="4"/>
        <v>0</v>
      </c>
      <c r="AX9" s="56">
        <f t="shared" si="4"/>
        <v>0</v>
      </c>
      <c r="AY9" s="56">
        <f t="shared" si="5"/>
        <v>0</v>
      </c>
      <c r="AZ9" s="56">
        <f t="shared" si="12"/>
        <v>0</v>
      </c>
      <c r="BA9" s="56">
        <f t="shared" si="6"/>
        <v>0</v>
      </c>
      <c r="BB9" s="56">
        <f t="shared" si="6"/>
        <v>0</v>
      </c>
      <c r="BC9" s="56">
        <f t="shared" si="6"/>
        <v>0</v>
      </c>
      <c r="BD9" s="57">
        <f t="shared" si="13"/>
        <v>0</v>
      </c>
    </row>
    <row r="10" spans="2:56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5">SUM(H6:H9)</f>
        <v>6096</v>
      </c>
      <c r="I10" s="59">
        <f t="shared" si="15"/>
        <v>5427.2184072479686</v>
      </c>
      <c r="J10" s="59">
        <f t="shared" si="15"/>
        <v>6684</v>
      </c>
      <c r="K10" s="59">
        <f t="shared" si="15"/>
        <v>500</v>
      </c>
      <c r="L10" s="59">
        <f t="shared" si="15"/>
        <v>5090</v>
      </c>
      <c r="M10" s="59">
        <f t="shared" si="15"/>
        <v>8590.3283707111495</v>
      </c>
      <c r="N10" s="59">
        <f t="shared" si="15"/>
        <v>13171</v>
      </c>
      <c r="O10" s="59">
        <f t="shared" si="15"/>
        <v>2338</v>
      </c>
      <c r="P10" s="59">
        <f t="shared" si="15"/>
        <v>6312</v>
      </c>
      <c r="Q10" s="59">
        <f t="shared" si="15"/>
        <v>6339</v>
      </c>
      <c r="R10" s="59">
        <f>SUM(R6:R9)</f>
        <v>5729</v>
      </c>
      <c r="S10" s="94">
        <f t="shared" ref="S10:AD10" si="16">SUM(S6:S9)</f>
        <v>529</v>
      </c>
      <c r="T10" s="94">
        <f t="shared" si="16"/>
        <v>2787</v>
      </c>
      <c r="U10" s="94">
        <f t="shared" si="16"/>
        <v>2394</v>
      </c>
      <c r="V10" s="94">
        <f t="shared" si="16"/>
        <v>2780</v>
      </c>
      <c r="W10" s="94">
        <f t="shared" si="16"/>
        <v>853.53229508716504</v>
      </c>
      <c r="X10" s="94">
        <f t="shared" si="16"/>
        <v>8911.8373657743796</v>
      </c>
      <c r="Y10" s="94">
        <f t="shared" si="16"/>
        <v>12379.846439535999</v>
      </c>
      <c r="Z10" s="94">
        <f t="shared" si="16"/>
        <v>15745.532871009993</v>
      </c>
      <c r="AA10" s="59">
        <f t="shared" si="16"/>
        <v>1313.4689872767867</v>
      </c>
      <c r="AB10" s="59">
        <f t="shared" si="16"/>
        <v>6025.9444031403327</v>
      </c>
      <c r="AC10" s="59">
        <f t="shared" si="16"/>
        <v>10813.493842425549</v>
      </c>
      <c r="AD10" s="59">
        <f t="shared" si="16"/>
        <v>15548.486834775031</v>
      </c>
      <c r="AE10" s="60">
        <f t="shared" ref="AE10" si="17">SUM(AE6:AE9)</f>
        <v>2425.7899377947397</v>
      </c>
      <c r="AF10" s="95">
        <f>+AE10/AA10-1</f>
        <v>0.84685741444426976</v>
      </c>
      <c r="AH10" s="59">
        <f t="shared" ref="AH10:AM10" si="18">SUM(AH6:AH9)</f>
        <v>-668.78159275203143</v>
      </c>
      <c r="AI10" s="59">
        <f t="shared" si="18"/>
        <v>1256.7815927520314</v>
      </c>
      <c r="AJ10" s="59">
        <f t="shared" si="18"/>
        <v>500</v>
      </c>
      <c r="AK10" s="59">
        <f t="shared" si="18"/>
        <v>4590</v>
      </c>
      <c r="AL10" s="59">
        <f>SUM(AL6:AL9)</f>
        <v>3500.3283707111495</v>
      </c>
      <c r="AM10" s="59">
        <f t="shared" si="18"/>
        <v>4580.6716292888505</v>
      </c>
      <c r="AN10" s="59">
        <f t="shared" ref="AN10:AP10" si="19">SUM(AN6:AN9)</f>
        <v>2338</v>
      </c>
      <c r="AO10" s="59">
        <f t="shared" si="19"/>
        <v>3974</v>
      </c>
      <c r="AP10" s="59">
        <f t="shared" si="19"/>
        <v>27</v>
      </c>
      <c r="AQ10" s="59">
        <f>SUM(AQ6:AQ9)</f>
        <v>-610</v>
      </c>
      <c r="AR10" s="59">
        <f>SUM(AR6:AR9)</f>
        <v>529</v>
      </c>
      <c r="AS10" s="59">
        <f>SUM(AS6:AS9)</f>
        <v>2258</v>
      </c>
      <c r="AT10" s="59">
        <f>SUM(AT6:AT9)</f>
        <v>-393</v>
      </c>
      <c r="AU10" s="59">
        <f>SUM(AU6:AU9)</f>
        <v>386</v>
      </c>
      <c r="AV10" s="59">
        <f t="shared" ref="AV10" si="20">SUM(AV6:AV9)</f>
        <v>853.53229508716504</v>
      </c>
      <c r="AW10" s="59">
        <f t="shared" si="4"/>
        <v>8058.3050706872145</v>
      </c>
      <c r="AX10" s="59">
        <f t="shared" si="4"/>
        <v>3468.0090737616192</v>
      </c>
      <c r="AY10" s="59">
        <f t="shared" si="5"/>
        <v>3365.6864314739942</v>
      </c>
      <c r="AZ10" s="59">
        <f t="shared" ref="AZ10:BC10" si="21">SUM(AZ6:AZ9)</f>
        <v>1313.4689872767867</v>
      </c>
      <c r="BA10" s="59">
        <f t="shared" si="21"/>
        <v>4712.475415863546</v>
      </c>
      <c r="BB10" s="59">
        <f t="shared" si="21"/>
        <v>4787.5494392852161</v>
      </c>
      <c r="BC10" s="59">
        <f t="shared" si="21"/>
        <v>4734.9929923494819</v>
      </c>
      <c r="BD10" s="60">
        <f t="shared" ref="BD10" si="22">SUM(BD6:BD9)</f>
        <v>2425.7899377947397</v>
      </c>
    </row>
    <row r="11" spans="2:56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9"/>
      <c r="AH11" s="45"/>
      <c r="AI11" s="45"/>
      <c r="AJ11" s="45"/>
      <c r="AK11" s="45"/>
      <c r="AL11" s="45"/>
      <c r="AM11" s="45"/>
      <c r="AN11" s="45"/>
      <c r="AO11" s="45"/>
    </row>
    <row r="12" spans="2:56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27" t="s">
        <v>46</v>
      </c>
      <c r="AH12" s="81"/>
      <c r="AI12" s="81"/>
      <c r="AJ12" s="81"/>
      <c r="AK12" s="81"/>
      <c r="AL12" s="81"/>
      <c r="AM12" s="81"/>
      <c r="AN12" s="81"/>
      <c r="AO12" s="8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46</v>
      </c>
    </row>
    <row r="13" spans="2:56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H13" s="81"/>
      <c r="AI13" s="81"/>
      <c r="AJ13" s="81"/>
      <c r="AK13" s="81"/>
      <c r="AL13" s="81"/>
      <c r="AM13" s="81"/>
      <c r="AN13" s="81"/>
      <c r="AO13" s="81"/>
    </row>
    <row r="14" spans="2:56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9"/>
      <c r="AH14" s="45"/>
      <c r="AI14" s="45"/>
      <c r="AJ14" s="45"/>
      <c r="AK14" s="45"/>
      <c r="AL14" s="45"/>
      <c r="AM14" s="45"/>
      <c r="AN14" s="45"/>
      <c r="AO14" s="45"/>
    </row>
    <row r="15" spans="2:56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47" t="s">
        <v>228</v>
      </c>
      <c r="AE15" s="74" t="s">
        <v>230</v>
      </c>
      <c r="AF15" s="82" t="s">
        <v>2</v>
      </c>
      <c r="AH15" s="47" t="s">
        <v>110</v>
      </c>
      <c r="AI15" s="47" t="s">
        <v>111</v>
      </c>
      <c r="AJ15" s="47" t="s">
        <v>112</v>
      </c>
      <c r="AK15" s="47" t="s">
        <v>113</v>
      </c>
      <c r="AL15" s="47" t="s">
        <v>114</v>
      </c>
      <c r="AM15" s="47" t="s">
        <v>115</v>
      </c>
      <c r="AN15" s="47" t="s">
        <v>116</v>
      </c>
      <c r="AO15" s="47" t="s">
        <v>117</v>
      </c>
      <c r="AP15" s="47" t="s">
        <v>118</v>
      </c>
      <c r="AQ15" s="47" t="s">
        <v>119</v>
      </c>
      <c r="AR15" s="47" t="s">
        <v>62</v>
      </c>
      <c r="AS15" s="47" t="s">
        <v>63</v>
      </c>
      <c r="AT15" s="47" t="s">
        <v>64</v>
      </c>
      <c r="AU15" s="47" t="s">
        <v>65</v>
      </c>
      <c r="AV15" s="47" t="s">
        <v>189</v>
      </c>
      <c r="AW15" s="47" t="s">
        <v>213</v>
      </c>
      <c r="AX15" s="47" t="s">
        <v>217</v>
      </c>
      <c r="AY15" s="47" t="s">
        <v>219</v>
      </c>
      <c r="AZ15" s="47" t="s">
        <v>221</v>
      </c>
      <c r="BA15" s="47" t="s">
        <v>224</v>
      </c>
      <c r="BB15" s="47" t="s">
        <v>227</v>
      </c>
      <c r="BC15" s="47" t="s">
        <v>229</v>
      </c>
      <c r="BD15" s="74" t="s">
        <v>232</v>
      </c>
    </row>
    <row r="16" spans="2:56" s="10" customFormat="1" x14ac:dyDescent="0.25">
      <c r="D16" s="48" t="s">
        <v>60</v>
      </c>
      <c r="E16" s="49">
        <f>-E7/E6</f>
        <v>0.52177347791268969</v>
      </c>
      <c r="F16" s="49">
        <f t="shared" ref="F16" si="23">-F7/F6</f>
        <v>0.52254440468725705</v>
      </c>
      <c r="G16" s="49">
        <f>-G7/G6</f>
        <v>0.51760179232417691</v>
      </c>
      <c r="H16" s="49">
        <f t="shared" ref="H16:Q16" si="24">-H7/H6</f>
        <v>0.52299019969051652</v>
      </c>
      <c r="I16" s="49">
        <f t="shared" si="24"/>
        <v>0.55707220496621823</v>
      </c>
      <c r="J16" s="49">
        <f t="shared" si="24"/>
        <v>0.57086762411919745</v>
      </c>
      <c r="K16" s="49">
        <f t="shared" si="24"/>
        <v>0.63701872867785281</v>
      </c>
      <c r="L16" s="49">
        <f t="shared" si="24"/>
        <v>0.57482034178042152</v>
      </c>
      <c r="M16" s="49">
        <f t="shared" si="24"/>
        <v>0.56376616824846848</v>
      </c>
      <c r="N16" s="49">
        <f t="shared" si="24"/>
        <v>0.5543349542694449</v>
      </c>
      <c r="O16" s="49">
        <f t="shared" si="24"/>
        <v>0.59882817557943802</v>
      </c>
      <c r="P16" s="49">
        <f t="shared" si="24"/>
        <v>0.57414195268243917</v>
      </c>
      <c r="Q16" s="49">
        <f t="shared" si="24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AD16" si="25">-W7/W6</f>
        <v>0.70113450163447788</v>
      </c>
      <c r="X16" s="49">
        <f t="shared" si="25"/>
        <v>0.59324131445538986</v>
      </c>
      <c r="Y16" s="49">
        <f t="shared" si="25"/>
        <v>0.60379388824953617</v>
      </c>
      <c r="Z16" s="49">
        <f t="shared" si="25"/>
        <v>0.61481712730755866</v>
      </c>
      <c r="AA16" s="49">
        <f t="shared" si="25"/>
        <v>0.6941753373773657</v>
      </c>
      <c r="AB16" s="49">
        <f t="shared" si="25"/>
        <v>0.64840863339168442</v>
      </c>
      <c r="AC16" s="49">
        <f t="shared" si="25"/>
        <v>0.63692676470014675</v>
      </c>
      <c r="AD16" s="49">
        <f t="shared" si="25"/>
        <v>0.63590938414054188</v>
      </c>
      <c r="AE16" s="50">
        <f t="shared" ref="AE16" si="26">-AE7/AE6</f>
        <v>0.67842593655953065</v>
      </c>
      <c r="AF16" s="69">
        <f>(AE16-AA16)*100</f>
        <v>-1.5749400817835046</v>
      </c>
      <c r="AH16" s="49">
        <f t="shared" ref="AH16" si="27">-AH7/AH6</f>
        <v>0.62249080034863247</v>
      </c>
      <c r="AI16" s="49">
        <f>-AI7/AI6</f>
        <v>0.61017000343536143</v>
      </c>
      <c r="AJ16" s="49">
        <f t="shared" ref="AJ16:AT16" si="28">-AJ7/AJ6</f>
        <v>0.63701872867785281</v>
      </c>
      <c r="AK16" s="49">
        <f t="shared" si="28"/>
        <v>0.51413043478260867</v>
      </c>
      <c r="AL16" s="49">
        <f t="shared" si="28"/>
        <v>0.5424206793289551</v>
      </c>
      <c r="AM16" s="49">
        <f t="shared" si="28"/>
        <v>0.527281537827338</v>
      </c>
      <c r="AN16" s="49">
        <f t="shared" si="28"/>
        <v>0.59882817557943802</v>
      </c>
      <c r="AO16" s="49">
        <f t="shared" si="28"/>
        <v>0.5504061751066015</v>
      </c>
      <c r="AP16" s="49">
        <f t="shared" si="28"/>
        <v>0.68492820806116617</v>
      </c>
      <c r="AQ16" s="49">
        <f t="shared" si="28"/>
        <v>0.68251035551449768</v>
      </c>
      <c r="AR16" s="49">
        <f t="shared" si="28"/>
        <v>0.71872912612900419</v>
      </c>
      <c r="AS16" s="49">
        <f t="shared" si="28"/>
        <v>0.60525869859918657</v>
      </c>
      <c r="AT16" s="49">
        <f t="shared" si="28"/>
        <v>0.7200890992621467</v>
      </c>
      <c r="AU16" s="49">
        <f t="shared" ref="AU16:AV16" si="29">-AU7/AU6</f>
        <v>0.69814917127071818</v>
      </c>
      <c r="AV16" s="49">
        <f t="shared" si="29"/>
        <v>0.70113450163447788</v>
      </c>
      <c r="AW16" s="49">
        <f t="shared" ref="AW16:BC16" si="30">-AW7/AW6</f>
        <v>0.48792149553591557</v>
      </c>
      <c r="AX16" s="49">
        <f t="shared" si="30"/>
        <v>0.6241440201248164</v>
      </c>
      <c r="AY16" s="49">
        <f t="shared" si="30"/>
        <v>0.64652291003208118</v>
      </c>
      <c r="AZ16" s="49">
        <f t="shared" si="30"/>
        <v>0.6941753373773657</v>
      </c>
      <c r="BA16" s="49">
        <f t="shared" si="30"/>
        <v>0.60388978826639883</v>
      </c>
      <c r="BB16" s="49">
        <f t="shared" si="30"/>
        <v>0.61489582659510211</v>
      </c>
      <c r="BC16" s="49">
        <f t="shared" si="30"/>
        <v>0.6329749279476794</v>
      </c>
      <c r="BD16" s="50">
        <f t="shared" ref="BD16" si="31">-BD7/BD6</f>
        <v>0.67842593655953065</v>
      </c>
    </row>
    <row r="17" spans="4:56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32">-(F8+F9)/F6</f>
        <v>0.36400403948880483</v>
      </c>
      <c r="G17" s="49">
        <f>-(G8+G9)/G6</f>
        <v>0.36212741087083578</v>
      </c>
      <c r="H17" s="49">
        <f t="shared" ref="H17:Q17" si="33">-(H8+H9)/H6</f>
        <v>0.36471151720580652</v>
      </c>
      <c r="I17" s="49">
        <f t="shared" si="33"/>
        <v>0.37719517093962135</v>
      </c>
      <c r="J17" s="49">
        <f t="shared" si="33"/>
        <v>0.36921090850411492</v>
      </c>
      <c r="K17" s="49">
        <f t="shared" si="33"/>
        <v>0.34557543688644432</v>
      </c>
      <c r="L17" s="49">
        <f t="shared" si="33"/>
        <v>0.33767149193687035</v>
      </c>
      <c r="M17" s="49">
        <f t="shared" si="33"/>
        <v>0.33893532223017464</v>
      </c>
      <c r="N17" s="49">
        <f t="shared" si="33"/>
        <v>0.33504665440466291</v>
      </c>
      <c r="O17" s="49">
        <f t="shared" si="33"/>
        <v>0.32548879968923994</v>
      </c>
      <c r="P17" s="49">
        <f t="shared" si="33"/>
        <v>0.32570095682391581</v>
      </c>
      <c r="Q17" s="49">
        <f t="shared" si="33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AD17" si="34">-(W8+W9)/W6</f>
        <v>0.27514996890417981</v>
      </c>
      <c r="X17" s="49">
        <f t="shared" si="34"/>
        <v>0.28444458400570738</v>
      </c>
      <c r="Y17" s="49">
        <f t="shared" si="34"/>
        <v>0.28431508546083062</v>
      </c>
      <c r="Z17" s="49">
        <f t="shared" si="34"/>
        <v>0.27958555389221301</v>
      </c>
      <c r="AA17" s="49">
        <f t="shared" si="34"/>
        <v>0.27151568297116757</v>
      </c>
      <c r="AB17" s="49">
        <f t="shared" si="34"/>
        <v>0.27397760260916942</v>
      </c>
      <c r="AC17" s="49">
        <f t="shared" si="34"/>
        <v>0.27151406465934219</v>
      </c>
      <c r="AD17" s="49">
        <f t="shared" si="34"/>
        <v>0.26633255512614917</v>
      </c>
      <c r="AE17" s="50">
        <f t="shared" ref="AE17" si="35">-(AE8+AE9)/AE6</f>
        <v>0.26137724381942445</v>
      </c>
      <c r="AF17" s="69">
        <f>(AE17-AA17)*100</f>
        <v>-1.0138439151743117</v>
      </c>
      <c r="AH17" s="49">
        <f t="shared" ref="AH17" si="36">-(AH8+AH9)/AH6</f>
        <v>0.40115687993826482</v>
      </c>
      <c r="AI17" s="49">
        <f>-(AI8+AI9)/AI6</f>
        <v>0.34646419038556425</v>
      </c>
      <c r="AJ17" s="49">
        <f t="shared" ref="AJ17:AT17" si="37">-(AJ8+AJ9)/AJ6</f>
        <v>0.34557543688644432</v>
      </c>
      <c r="AK17" s="49">
        <f t="shared" si="37"/>
        <v>0.32995923913043479</v>
      </c>
      <c r="AL17" s="49">
        <f t="shared" si="37"/>
        <v>0.34137576478735854</v>
      </c>
      <c r="AM17" s="49">
        <f t="shared" si="37"/>
        <v>0.32389201934680334</v>
      </c>
      <c r="AN17" s="49">
        <f t="shared" si="37"/>
        <v>0.32548879968923994</v>
      </c>
      <c r="AO17" s="49">
        <f t="shared" si="37"/>
        <v>0.32590494568769646</v>
      </c>
      <c r="AP17" s="49">
        <f t="shared" si="37"/>
        <v>0.3142590530086391</v>
      </c>
      <c r="AQ17" s="49">
        <f t="shared" si="37"/>
        <v>0.3356676699347379</v>
      </c>
      <c r="AR17" s="49">
        <f t="shared" si="37"/>
        <v>0.26590770481805243</v>
      </c>
      <c r="AS17" s="49">
        <f t="shared" si="37"/>
        <v>0.33097040216900137</v>
      </c>
      <c r="AT17" s="49">
        <f t="shared" si="37"/>
        <v>0.29085340387024922</v>
      </c>
      <c r="AU17" s="49">
        <f t="shared" ref="AU17:AV17" si="38">-(AU8+AU9)/AU6</f>
        <v>0.29118784530386738</v>
      </c>
      <c r="AV17" s="49">
        <f t="shared" si="38"/>
        <v>0.27514996890417981</v>
      </c>
      <c r="AW17" s="49">
        <f t="shared" ref="AW17:BC17" si="39">-(AW8+AW9)/AW6</f>
        <v>0.29351751256600883</v>
      </c>
      <c r="AX17" s="49">
        <f t="shared" si="39"/>
        <v>0.2840653537349685</v>
      </c>
      <c r="AY17" s="49">
        <f t="shared" si="39"/>
        <v>0.26598215660453239</v>
      </c>
      <c r="AZ17" s="49">
        <f t="shared" si="39"/>
        <v>0.27151568297116757</v>
      </c>
      <c r="BA17" s="49">
        <f t="shared" si="39"/>
        <v>0.27637239641187356</v>
      </c>
      <c r="BB17" s="49">
        <f t="shared" si="39"/>
        <v>0.26678712921441122</v>
      </c>
      <c r="BC17" s="49">
        <f t="shared" si="39"/>
        <v>0.25138739758946654</v>
      </c>
      <c r="BD17" s="50">
        <f t="shared" ref="BD17" si="40">-(BD8+BD9)/BD6</f>
        <v>0.26137724381942445</v>
      </c>
    </row>
    <row r="18" spans="4:56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41">-(F7+F8+F9)/F6</f>
        <v>0.88654844417606171</v>
      </c>
      <c r="G18" s="51">
        <f>-(G7+G8+G9)/G6</f>
        <v>0.87972920319501269</v>
      </c>
      <c r="H18" s="51">
        <f t="shared" ref="H18:Q18" si="42">-(H7+H8+H9)/H6</f>
        <v>0.88770171689632305</v>
      </c>
      <c r="I18" s="51">
        <f t="shared" si="42"/>
        <v>0.93426737590583953</v>
      </c>
      <c r="J18" s="51">
        <f t="shared" si="42"/>
        <v>0.94007853262331231</v>
      </c>
      <c r="K18" s="51">
        <f t="shared" si="42"/>
        <v>0.98259416556429713</v>
      </c>
      <c r="L18" s="51">
        <f t="shared" si="42"/>
        <v>0.91249183371729192</v>
      </c>
      <c r="M18" s="51">
        <f t="shared" si="42"/>
        <v>0.90270149047864334</v>
      </c>
      <c r="N18" s="51">
        <f t="shared" si="42"/>
        <v>0.88938160867410787</v>
      </c>
      <c r="O18" s="51">
        <f t="shared" si="42"/>
        <v>0.92431697526867795</v>
      </c>
      <c r="P18" s="51">
        <f t="shared" si="42"/>
        <v>0.89984290950635504</v>
      </c>
      <c r="Q18" s="51">
        <f t="shared" si="42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AD18" si="43">-(W7+W8+W9)/W6</f>
        <v>0.97628447053865774</v>
      </c>
      <c r="X18" s="51">
        <f t="shared" si="43"/>
        <v>0.87768589846109724</v>
      </c>
      <c r="Y18" s="51">
        <f t="shared" si="43"/>
        <v>0.88810897371036679</v>
      </c>
      <c r="Z18" s="51">
        <f t="shared" si="43"/>
        <v>0.89440268119977173</v>
      </c>
      <c r="AA18" s="51">
        <f t="shared" si="43"/>
        <v>0.96569102034853327</v>
      </c>
      <c r="AB18" s="51">
        <f t="shared" si="43"/>
        <v>0.92238623600085368</v>
      </c>
      <c r="AC18" s="51">
        <f t="shared" si="43"/>
        <v>0.90844082935948889</v>
      </c>
      <c r="AD18" s="51">
        <f t="shared" si="43"/>
        <v>0.90224193926669105</v>
      </c>
      <c r="AE18" s="52">
        <f t="shared" ref="AE18" si="44">-(AE7+AE8+AE9)/AE6</f>
        <v>0.93980318037895516</v>
      </c>
      <c r="AF18" s="83">
        <f>(AE18-AA18)*100</f>
        <v>-2.5887839969578108</v>
      </c>
      <c r="AH18" s="51">
        <f t="shared" ref="AH18" si="45">-(AH7+AH8+AH9)/AH6</f>
        <v>1.0236476802868972</v>
      </c>
      <c r="AI18" s="51">
        <f>-(AI7+AI8+AI9)/AI6</f>
        <v>0.95663419382092563</v>
      </c>
      <c r="AJ18" s="51">
        <f t="shared" ref="AJ18:AT18" si="46">-(AJ7+AJ8+AJ9)/AJ6</f>
        <v>0.98259416556429713</v>
      </c>
      <c r="AK18" s="51">
        <f t="shared" si="46"/>
        <v>0.84408967391304346</v>
      </c>
      <c r="AL18" s="51">
        <f t="shared" si="46"/>
        <v>0.88379644411631353</v>
      </c>
      <c r="AM18" s="51">
        <f t="shared" si="46"/>
        <v>0.85117355717414145</v>
      </c>
      <c r="AN18" s="51">
        <f t="shared" si="46"/>
        <v>0.92431697526867795</v>
      </c>
      <c r="AO18" s="51">
        <f t="shared" si="46"/>
        <v>0.87631112079429796</v>
      </c>
      <c r="AP18" s="51">
        <f t="shared" si="46"/>
        <v>0.99918726106980527</v>
      </c>
      <c r="AQ18" s="51">
        <f t="shared" si="46"/>
        <v>1.0181780254492356</v>
      </c>
      <c r="AR18" s="51">
        <f t="shared" si="46"/>
        <v>0.98463683094705656</v>
      </c>
      <c r="AS18" s="51">
        <f t="shared" si="46"/>
        <v>0.93622910076818799</v>
      </c>
      <c r="AT18" s="51">
        <f t="shared" si="46"/>
        <v>1.010942503132396</v>
      </c>
      <c r="AU18" s="51">
        <f t="shared" ref="AU18:AV18" si="47">-(AU7+AU8+AU9)/AU6</f>
        <v>0.98933701657458561</v>
      </c>
      <c r="AV18" s="51">
        <f t="shared" si="47"/>
        <v>0.97628447053865774</v>
      </c>
      <c r="AW18" s="51">
        <f t="shared" ref="AW18:BC18" si="48">-(AW7+AW8+AW9)/AW6</f>
        <v>0.78143900810192435</v>
      </c>
      <c r="AX18" s="51">
        <f t="shared" si="48"/>
        <v>0.90820937385978484</v>
      </c>
      <c r="AY18" s="51">
        <f t="shared" si="48"/>
        <v>0.91250506663661346</v>
      </c>
      <c r="AZ18" s="51">
        <f t="shared" si="48"/>
        <v>0.96569102034853327</v>
      </c>
      <c r="BA18" s="51">
        <f t="shared" si="48"/>
        <v>0.88026218467827233</v>
      </c>
      <c r="BB18" s="51">
        <f t="shared" si="48"/>
        <v>0.88168295580951339</v>
      </c>
      <c r="BC18" s="51">
        <f t="shared" si="48"/>
        <v>0.884362325537146</v>
      </c>
      <c r="BD18" s="52">
        <f t="shared" ref="BD18" si="49">-(BD7+BD8+BD9)/BD6</f>
        <v>0.93980318037895516</v>
      </c>
    </row>
    <row r="19" spans="4:56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64"/>
      <c r="AG19" s="45"/>
    </row>
    <row r="20" spans="4:56" s="10" customFormat="1" x14ac:dyDescent="0.25"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0"/>
      <c r="AG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R10 S10:AE10" formulaRange="1"/>
    <ignoredError sqref="AJ5:AS10 AV5:AV9 AZ5:AZ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4" width="11" style="73" hidden="1" customWidth="1" outlineLevel="1"/>
    <col min="25" max="25" width="11" style="73" hidden="1" customWidth="1" outlineLevel="1" collapsed="1"/>
    <col min="26" max="26" width="11" style="73" customWidth="1" collapsed="1"/>
    <col min="27" max="27" width="11" style="73" customWidth="1"/>
    <col min="28" max="29" width="11" style="73" hidden="1" customWidth="1" outlineLevel="1"/>
    <col min="30" max="30" width="11" style="73" customWidth="1" collapsed="1"/>
    <col min="31" max="32" width="11" style="73" customWidth="1"/>
    <col min="33" max="33" width="3" style="13" customWidth="1"/>
    <col min="34" max="16384" width="10.85546875" style="73"/>
  </cols>
  <sheetData>
    <row r="1" spans="2:56" ht="16.5" customHeight="1" x14ac:dyDescent="0.2"/>
    <row r="2" spans="2:56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44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47" t="s">
        <v>228</v>
      </c>
      <c r="AE4" s="74" t="s">
        <v>230</v>
      </c>
      <c r="AF4" s="98" t="s">
        <v>0</v>
      </c>
      <c r="AG4" s="13"/>
      <c r="AH4" s="47" t="s">
        <v>110</v>
      </c>
      <c r="AI4" s="47" t="s">
        <v>111</v>
      </c>
      <c r="AJ4" s="47" t="s">
        <v>112</v>
      </c>
      <c r="AK4" s="47" t="s">
        <v>113</v>
      </c>
      <c r="AL4" s="47" t="s">
        <v>114</v>
      </c>
      <c r="AM4" s="47" t="s">
        <v>115</v>
      </c>
      <c r="AN4" s="47" t="s">
        <v>116</v>
      </c>
      <c r="AO4" s="47" t="s">
        <v>117</v>
      </c>
      <c r="AP4" s="47" t="s">
        <v>118</v>
      </c>
      <c r="AQ4" s="47" t="s">
        <v>119</v>
      </c>
      <c r="AR4" s="47" t="s">
        <v>62</v>
      </c>
      <c r="AS4" s="47" t="s">
        <v>63</v>
      </c>
      <c r="AT4" s="47" t="s">
        <v>64</v>
      </c>
      <c r="AU4" s="47" t="s">
        <v>65</v>
      </c>
      <c r="AV4" s="47" t="s">
        <v>189</v>
      </c>
      <c r="AW4" s="47" t="s">
        <v>213</v>
      </c>
      <c r="AX4" s="47" t="s">
        <v>217</v>
      </c>
      <c r="AY4" s="47" t="s">
        <v>219</v>
      </c>
      <c r="AZ4" s="47" t="s">
        <v>221</v>
      </c>
      <c r="BA4" s="47" t="s">
        <v>224</v>
      </c>
      <c r="BB4" s="47" t="s">
        <v>227</v>
      </c>
      <c r="BC4" s="47" t="s">
        <v>229</v>
      </c>
      <c r="BD4" s="74" t="s">
        <v>232</v>
      </c>
    </row>
    <row r="5" spans="2:56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6">
        <v>26772.181279999997</v>
      </c>
      <c r="Z5" s="76">
        <v>33859.877889999989</v>
      </c>
      <c r="AA5" s="76">
        <v>17829.831650000004</v>
      </c>
      <c r="AB5" s="76">
        <v>24597.635480000001</v>
      </c>
      <c r="AC5" s="76">
        <v>30505.179729999996</v>
      </c>
      <c r="AD5" s="76">
        <v>38833.015329999995</v>
      </c>
      <c r="AE5" s="77">
        <v>21404.549060000001</v>
      </c>
      <c r="AF5" s="78">
        <f>+AE5/AA5-1</f>
        <v>0.20049081114010381</v>
      </c>
      <c r="AH5" s="76">
        <f>I5-H5</f>
        <v>3618.9996899999969</v>
      </c>
      <c r="AI5" s="76">
        <f>J5-I5</f>
        <v>4949.3531000000039</v>
      </c>
      <c r="AJ5" s="76">
        <f>K5</f>
        <v>12002</v>
      </c>
      <c r="AK5" s="76">
        <f t="shared" ref="AK5:AM9" si="0">L5-K5</f>
        <v>4620</v>
      </c>
      <c r="AL5" s="76">
        <f t="shared" si="0"/>
        <v>4290.6946499999976</v>
      </c>
      <c r="AM5" s="76">
        <f t="shared" si="0"/>
        <v>5536.3053500000024</v>
      </c>
      <c r="AN5" s="76">
        <f t="shared" ref="AN5:AN8" si="1">O5</f>
        <v>13760</v>
      </c>
      <c r="AO5" s="76">
        <f t="shared" ref="AO5:AQ9" si="2">P5-O5</f>
        <v>5088</v>
      </c>
      <c r="AP5" s="76">
        <f t="shared" si="2"/>
        <v>4456</v>
      </c>
      <c r="AQ5" s="76">
        <f t="shared" si="2"/>
        <v>5778</v>
      </c>
      <c r="AR5" s="76">
        <f>S5</f>
        <v>14335</v>
      </c>
      <c r="AS5" s="76">
        <f t="shared" ref="AS5:AU9" si="3">T5-S5</f>
        <v>5468</v>
      </c>
      <c r="AT5" s="76">
        <f t="shared" si="3"/>
        <v>4533</v>
      </c>
      <c r="AU5" s="76">
        <f t="shared" si="3"/>
        <v>6048</v>
      </c>
      <c r="AV5" s="76">
        <f>W5</f>
        <v>15579.069019999999</v>
      </c>
      <c r="AW5" s="76">
        <f t="shared" ref="AW5:AX10" si="4">X5-W5</f>
        <v>6076.5417699999998</v>
      </c>
      <c r="AX5" s="76">
        <f t="shared" si="4"/>
        <v>5116.5704899999982</v>
      </c>
      <c r="AY5" s="76">
        <f t="shared" ref="AY5:AY10" si="5">Z5-Y5</f>
        <v>7087.6966099999918</v>
      </c>
      <c r="AZ5" s="76">
        <f>AA5</f>
        <v>17829.831650000004</v>
      </c>
      <c r="BA5" s="76">
        <f t="shared" ref="BA5:BC9" si="6">AB5-AA5</f>
        <v>6767.8038299999971</v>
      </c>
      <c r="BB5" s="76">
        <f t="shared" si="6"/>
        <v>5907.5442499999954</v>
      </c>
      <c r="BC5" s="76">
        <f t="shared" si="6"/>
        <v>8327.8355999999985</v>
      </c>
      <c r="BD5" s="77">
        <f>AE5</f>
        <v>21404.549060000001</v>
      </c>
    </row>
    <row r="6" spans="2:56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6">
        <v>13270.22517</v>
      </c>
      <c r="Z6" s="76">
        <v>17989.970699999965</v>
      </c>
      <c r="AA6" s="76">
        <v>4758.2745200000072</v>
      </c>
      <c r="AB6" s="76">
        <v>9681.4987499999988</v>
      </c>
      <c r="AC6" s="76">
        <v>14844.94421999999</v>
      </c>
      <c r="AD6" s="76">
        <v>20924.143359999995</v>
      </c>
      <c r="AE6" s="77">
        <v>5539.2130900000038</v>
      </c>
      <c r="AF6" s="78">
        <f>+AE6/AA6-1</f>
        <v>0.16412221840449748</v>
      </c>
      <c r="AH6" s="76">
        <f>I6-H6</f>
        <v>2692.615569999989</v>
      </c>
      <c r="AI6" s="76">
        <f t="shared" ref="AI6:AI9" si="7">J6-I6</f>
        <v>4442.384430000011</v>
      </c>
      <c r="AJ6" s="76">
        <f t="shared" ref="AJ6:AJ9" si="8">K6</f>
        <v>3056</v>
      </c>
      <c r="AK6" s="76">
        <f t="shared" si="0"/>
        <v>3286</v>
      </c>
      <c r="AL6" s="76">
        <f t="shared" si="0"/>
        <v>3518.6312800000014</v>
      </c>
      <c r="AM6" s="76">
        <f t="shared" si="0"/>
        <v>5120.3687199999986</v>
      </c>
      <c r="AN6" s="76">
        <f t="shared" si="1"/>
        <v>3754</v>
      </c>
      <c r="AO6" s="76">
        <f t="shared" si="2"/>
        <v>3856</v>
      </c>
      <c r="AP6" s="76">
        <f t="shared" si="2"/>
        <v>3966</v>
      </c>
      <c r="AQ6" s="76">
        <f t="shared" si="2"/>
        <v>4929</v>
      </c>
      <c r="AR6" s="76">
        <f t="shared" ref="AR6:AR9" si="9">S6</f>
        <v>4002</v>
      </c>
      <c r="AS6" s="76">
        <f t="shared" si="3"/>
        <v>4060</v>
      </c>
      <c r="AT6" s="76">
        <f t="shared" si="3"/>
        <v>4142</v>
      </c>
      <c r="AU6" s="76">
        <f t="shared" si="3"/>
        <v>3901</v>
      </c>
      <c r="AV6" s="76">
        <f t="shared" ref="AV6:AV9" si="10">W6</f>
        <v>4320.6249299999981</v>
      </c>
      <c r="AW6" s="76">
        <f t="shared" si="4"/>
        <v>4408.6662499999948</v>
      </c>
      <c r="AX6" s="76">
        <f t="shared" si="4"/>
        <v>4540.9339900000068</v>
      </c>
      <c r="AY6" s="76">
        <f t="shared" si="5"/>
        <v>4719.7455299999656</v>
      </c>
      <c r="AZ6" s="76">
        <f t="shared" ref="AZ6:AZ9" si="11">AA6</f>
        <v>4758.2745200000072</v>
      </c>
      <c r="BA6" s="76">
        <f t="shared" si="6"/>
        <v>4923.2242299999916</v>
      </c>
      <c r="BB6" s="76">
        <f t="shared" si="6"/>
        <v>5163.4454699999915</v>
      </c>
      <c r="BC6" s="76">
        <f t="shared" si="6"/>
        <v>6079.1991400000043</v>
      </c>
      <c r="BD6" s="77">
        <f t="shared" ref="BD6:BD9" si="12">AE6</f>
        <v>5539.2130900000038</v>
      </c>
    </row>
    <row r="7" spans="2:56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6">
        <v>-10903.089705382994</v>
      </c>
      <c r="Z7" s="56">
        <v>-14671.262206222527</v>
      </c>
      <c r="AA7" s="56">
        <v>-3819.6575638973945</v>
      </c>
      <c r="AB7" s="56">
        <v>-8074.7794866565973</v>
      </c>
      <c r="AC7" s="56">
        <v>-11849.925873778728</v>
      </c>
      <c r="AD7" s="56">
        <v>-14813.114151625437</v>
      </c>
      <c r="AE7" s="57">
        <v>-4414.0669287166793</v>
      </c>
      <c r="AF7" s="79">
        <f>+AE7/AA7-1</f>
        <v>0.1556184958666238</v>
      </c>
      <c r="AH7" s="56">
        <f>I7-H7</f>
        <v>-2600.8337416389977</v>
      </c>
      <c r="AI7" s="56">
        <f t="shared" si="7"/>
        <v>-2853.1662583610023</v>
      </c>
      <c r="AJ7" s="56">
        <f t="shared" si="8"/>
        <v>-3153</v>
      </c>
      <c r="AK7" s="56">
        <f t="shared" si="0"/>
        <v>-3525</v>
      </c>
      <c r="AL7" s="56">
        <f t="shared" si="0"/>
        <v>-3053.433319279995</v>
      </c>
      <c r="AM7" s="56">
        <f t="shared" si="0"/>
        <v>-3219.566680720005</v>
      </c>
      <c r="AN7" s="56">
        <f t="shared" si="1"/>
        <v>-3799</v>
      </c>
      <c r="AO7" s="56">
        <f t="shared" si="2"/>
        <v>-3731</v>
      </c>
      <c r="AP7" s="56">
        <f t="shared" si="2"/>
        <v>-3005</v>
      </c>
      <c r="AQ7" s="56">
        <f t="shared" si="2"/>
        <v>-3786</v>
      </c>
      <c r="AR7" s="56">
        <f t="shared" si="9"/>
        <v>-3806</v>
      </c>
      <c r="AS7" s="56">
        <f t="shared" si="3"/>
        <v>-3745</v>
      </c>
      <c r="AT7" s="56">
        <f t="shared" si="3"/>
        <v>-3224</v>
      </c>
      <c r="AU7" s="56">
        <f t="shared" si="3"/>
        <v>-3682</v>
      </c>
      <c r="AV7" s="56">
        <f t="shared" si="10"/>
        <v>-3813.7375814009961</v>
      </c>
      <c r="AW7" s="56">
        <f t="shared" si="4"/>
        <v>-3645.3877501550101</v>
      </c>
      <c r="AX7" s="56">
        <f t="shared" si="4"/>
        <v>-3443.9643738269879</v>
      </c>
      <c r="AY7" s="56">
        <f t="shared" si="5"/>
        <v>-3768.1725008395333</v>
      </c>
      <c r="AZ7" s="56">
        <f t="shared" si="11"/>
        <v>-3819.6575638973945</v>
      </c>
      <c r="BA7" s="56">
        <f t="shared" si="6"/>
        <v>-4255.1219227592028</v>
      </c>
      <c r="BB7" s="56">
        <f t="shared" si="6"/>
        <v>-3775.1463871221304</v>
      </c>
      <c r="BC7" s="56">
        <f t="shared" si="6"/>
        <v>-2963.1882778467098</v>
      </c>
      <c r="BD7" s="57">
        <f t="shared" si="12"/>
        <v>-4414.0669287166793</v>
      </c>
    </row>
    <row r="8" spans="2:56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6">
        <v>-7737.1934154010005</v>
      </c>
      <c r="Z8" s="56">
        <v>-10633.956598776767</v>
      </c>
      <c r="AA8" s="56">
        <v>-2498.8739219142526</v>
      </c>
      <c r="AB8" s="56">
        <v>-4847.11688620112</v>
      </c>
      <c r="AC8" s="56">
        <v>-7621.8587921229018</v>
      </c>
      <c r="AD8" s="56">
        <v>-11398.357147505916</v>
      </c>
      <c r="AE8" s="57">
        <v>-2350.5838763119032</v>
      </c>
      <c r="AF8" s="79">
        <f>+AE8/AA8-1</f>
        <v>-5.9342748068198836E-2</v>
      </c>
      <c r="AH8" s="56">
        <f>I8-H8</f>
        <v>-2390.8115809177998</v>
      </c>
      <c r="AI8" s="56">
        <f t="shared" si="7"/>
        <v>-4363.1884190822002</v>
      </c>
      <c r="AJ8" s="56">
        <f t="shared" si="8"/>
        <v>-4</v>
      </c>
      <c r="AK8" s="56">
        <f t="shared" si="0"/>
        <v>-2563</v>
      </c>
      <c r="AL8" s="56">
        <f t="shared" si="0"/>
        <v>-2643.2223628648017</v>
      </c>
      <c r="AM8" s="56">
        <f t="shared" si="0"/>
        <v>-3936.7776371351983</v>
      </c>
      <c r="AN8" s="56">
        <f t="shared" si="1"/>
        <v>181</v>
      </c>
      <c r="AO8" s="56">
        <f t="shared" si="2"/>
        <v>-2511</v>
      </c>
      <c r="AP8" s="56">
        <f t="shared" si="2"/>
        <v>-3233</v>
      </c>
      <c r="AQ8" s="56">
        <f t="shared" si="2"/>
        <v>-3764</v>
      </c>
      <c r="AR8" s="56">
        <f t="shared" si="9"/>
        <v>-2581</v>
      </c>
      <c r="AS8" s="56">
        <f t="shared" si="3"/>
        <v>-2588</v>
      </c>
      <c r="AT8" s="56">
        <f t="shared" si="3"/>
        <v>-3371</v>
      </c>
      <c r="AU8" s="56">
        <f t="shared" si="3"/>
        <v>-4095</v>
      </c>
      <c r="AV8" s="56">
        <f t="shared" si="10"/>
        <v>-2267.5842226718</v>
      </c>
      <c r="AW8" s="56">
        <f t="shared" si="4"/>
        <v>-2550.8634127264017</v>
      </c>
      <c r="AX8" s="56">
        <f t="shared" si="4"/>
        <v>-2918.7457800027987</v>
      </c>
      <c r="AY8" s="56">
        <f t="shared" si="5"/>
        <v>-2896.7631833757669</v>
      </c>
      <c r="AZ8" s="56">
        <f t="shared" si="11"/>
        <v>-2498.8739219142526</v>
      </c>
      <c r="BA8" s="56">
        <f t="shared" si="6"/>
        <v>-2348.2429642868674</v>
      </c>
      <c r="BB8" s="56">
        <f t="shared" si="6"/>
        <v>-2774.7419059217818</v>
      </c>
      <c r="BC8" s="56">
        <f t="shared" si="6"/>
        <v>-3776.4983553830143</v>
      </c>
      <c r="BD8" s="57">
        <f t="shared" si="12"/>
        <v>-2350.5838763119032</v>
      </c>
    </row>
    <row r="9" spans="2:56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7">
        <v>0</v>
      </c>
      <c r="AF9" s="79" t="s">
        <v>7</v>
      </c>
      <c r="AH9" s="56">
        <f>I9-H9</f>
        <v>-78.067000000000007</v>
      </c>
      <c r="AI9" s="56">
        <f t="shared" si="7"/>
        <v>-78.932999999999993</v>
      </c>
      <c r="AJ9" s="56">
        <f t="shared" si="8"/>
        <v>-60</v>
      </c>
      <c r="AK9" s="56">
        <f t="shared" si="0"/>
        <v>-43</v>
      </c>
      <c r="AL9" s="56">
        <f t="shared" si="0"/>
        <v>-25.253399999999999</v>
      </c>
      <c r="AM9" s="56">
        <f t="shared" si="0"/>
        <v>35.253399999999999</v>
      </c>
      <c r="AN9" s="56">
        <f>O9</f>
        <v>-61</v>
      </c>
      <c r="AO9" s="56">
        <f t="shared" si="2"/>
        <v>-60</v>
      </c>
      <c r="AP9" s="56">
        <f t="shared" si="2"/>
        <v>-61</v>
      </c>
      <c r="AQ9" s="56">
        <f t="shared" si="2"/>
        <v>-61</v>
      </c>
      <c r="AR9" s="56">
        <f t="shared" si="9"/>
        <v>-1</v>
      </c>
      <c r="AS9" s="56">
        <f t="shared" si="3"/>
        <v>0</v>
      </c>
      <c r="AT9" s="56">
        <f t="shared" si="3"/>
        <v>-1</v>
      </c>
      <c r="AU9" s="56">
        <f t="shared" si="3"/>
        <v>-1</v>
      </c>
      <c r="AV9" s="56">
        <f t="shared" si="10"/>
        <v>0</v>
      </c>
      <c r="AW9" s="56">
        <f t="shared" si="4"/>
        <v>0</v>
      </c>
      <c r="AX9" s="56">
        <f t="shared" si="4"/>
        <v>0</v>
      </c>
      <c r="AY9" s="56">
        <f t="shared" si="5"/>
        <v>0</v>
      </c>
      <c r="AZ9" s="56">
        <f t="shared" si="11"/>
        <v>0</v>
      </c>
      <c r="BA9" s="56">
        <f t="shared" si="6"/>
        <v>0</v>
      </c>
      <c r="BB9" s="56">
        <f t="shared" si="6"/>
        <v>0</v>
      </c>
      <c r="BC9" s="56">
        <f t="shared" si="6"/>
        <v>0</v>
      </c>
      <c r="BD9" s="57">
        <f t="shared" si="12"/>
        <v>0</v>
      </c>
    </row>
    <row r="10" spans="2:56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3">SUM(H6:H9)</f>
        <v>-2660</v>
      </c>
      <c r="I10" s="59">
        <f t="shared" si="13"/>
        <v>-5037.0967525568085</v>
      </c>
      <c r="J10" s="59">
        <f t="shared" si="13"/>
        <v>-7890</v>
      </c>
      <c r="K10" s="59">
        <f t="shared" si="13"/>
        <v>-161</v>
      </c>
      <c r="L10" s="59">
        <f t="shared" si="13"/>
        <v>-3006</v>
      </c>
      <c r="M10" s="59">
        <f t="shared" si="13"/>
        <v>-5209.2778021447948</v>
      </c>
      <c r="N10" s="59">
        <f t="shared" si="13"/>
        <v>-7210</v>
      </c>
      <c r="O10" s="59">
        <f t="shared" si="13"/>
        <v>75</v>
      </c>
      <c r="P10" s="59">
        <f t="shared" si="13"/>
        <v>-2371</v>
      </c>
      <c r="Q10" s="59">
        <f t="shared" si="13"/>
        <v>-4704</v>
      </c>
      <c r="R10" s="59">
        <f>SUM(R6:R9)</f>
        <v>-7386</v>
      </c>
      <c r="S10" s="59">
        <f t="shared" ref="S10:AD10" si="14">SUM(S6:S9)</f>
        <v>-2386</v>
      </c>
      <c r="T10" s="59">
        <f t="shared" si="14"/>
        <v>-4659</v>
      </c>
      <c r="U10" s="59">
        <f t="shared" si="14"/>
        <v>-7113</v>
      </c>
      <c r="V10" s="59">
        <f t="shared" si="14"/>
        <v>-10990</v>
      </c>
      <c r="W10" s="59">
        <f t="shared" si="14"/>
        <v>-1760.696874072798</v>
      </c>
      <c r="X10" s="59">
        <f t="shared" si="14"/>
        <v>-3548.281786954215</v>
      </c>
      <c r="Y10" s="59">
        <f t="shared" si="14"/>
        <v>-5370.0579507839948</v>
      </c>
      <c r="Z10" s="59">
        <f t="shared" si="14"/>
        <v>-7315.2481049993294</v>
      </c>
      <c r="AA10" s="59">
        <f t="shared" si="14"/>
        <v>-1560.2569658116399</v>
      </c>
      <c r="AB10" s="59">
        <f t="shared" si="14"/>
        <v>-3240.3976228577185</v>
      </c>
      <c r="AC10" s="59">
        <f t="shared" si="14"/>
        <v>-4626.8404459016392</v>
      </c>
      <c r="AD10" s="59">
        <f t="shared" si="14"/>
        <v>-5287.327939131359</v>
      </c>
      <c r="AE10" s="60">
        <f t="shared" ref="AE10" si="15">SUM(AE6:AE9)</f>
        <v>-1225.4377150285786</v>
      </c>
      <c r="AF10" s="95">
        <f>+AE10/AA10-1</f>
        <v>-0.21459237684536758</v>
      </c>
      <c r="AH10" s="59">
        <f t="shared" ref="AH10:AP10" si="16">SUM(AH6:AH9)</f>
        <v>-2377.0967525568085</v>
      </c>
      <c r="AI10" s="59">
        <f t="shared" si="16"/>
        <v>-2852.9032474431915</v>
      </c>
      <c r="AJ10" s="59">
        <f t="shared" si="16"/>
        <v>-161</v>
      </c>
      <c r="AK10" s="59">
        <f t="shared" si="16"/>
        <v>-2845</v>
      </c>
      <c r="AL10" s="59">
        <f>SUM(AL6:AL9)</f>
        <v>-2203.2778021447953</v>
      </c>
      <c r="AM10" s="59">
        <f t="shared" si="16"/>
        <v>-2000.7221978552047</v>
      </c>
      <c r="AN10" s="59">
        <f t="shared" si="16"/>
        <v>75</v>
      </c>
      <c r="AO10" s="59">
        <f t="shared" si="16"/>
        <v>-2446</v>
      </c>
      <c r="AP10" s="59">
        <f t="shared" si="16"/>
        <v>-2333</v>
      </c>
      <c r="AQ10" s="59">
        <f>SUM(AQ6:AQ9)</f>
        <v>-2682</v>
      </c>
      <c r="AR10" s="59">
        <f>SUM(AR6:AR9)</f>
        <v>-2386</v>
      </c>
      <c r="AS10" s="59">
        <f>SUM(AS6:AS9)</f>
        <v>-2273</v>
      </c>
      <c r="AT10" s="59">
        <f>SUM(AT6:AT9)</f>
        <v>-2454</v>
      </c>
      <c r="AU10" s="59">
        <f>SUM(AU6:AU9)</f>
        <v>-3877</v>
      </c>
      <c r="AV10" s="59">
        <f t="shared" ref="AV10" si="17">SUM(AV6:AV9)</f>
        <v>-1760.696874072798</v>
      </c>
      <c r="AW10" s="59">
        <f t="shared" si="4"/>
        <v>-1787.584912881417</v>
      </c>
      <c r="AX10" s="59">
        <f t="shared" si="4"/>
        <v>-1821.7761638297798</v>
      </c>
      <c r="AY10" s="59">
        <f t="shared" si="5"/>
        <v>-1945.1901542153346</v>
      </c>
      <c r="AZ10" s="59">
        <f t="shared" ref="AZ10:BC10" si="18">SUM(AZ6:AZ9)</f>
        <v>-1560.2569658116399</v>
      </c>
      <c r="BA10" s="59">
        <f t="shared" si="18"/>
        <v>-1680.1406570460786</v>
      </c>
      <c r="BB10" s="59">
        <f t="shared" si="18"/>
        <v>-1386.4428230439207</v>
      </c>
      <c r="BC10" s="59">
        <f t="shared" si="18"/>
        <v>-660.4874932297198</v>
      </c>
      <c r="BD10" s="60">
        <f t="shared" ref="BD10" si="19">SUM(BD6:BD9)</f>
        <v>-1225.4377150285786</v>
      </c>
    </row>
    <row r="11" spans="2:56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64"/>
      <c r="AH11" s="63"/>
      <c r="AI11" s="63"/>
      <c r="AJ11" s="63"/>
      <c r="AK11" s="63"/>
      <c r="AL11" s="63"/>
      <c r="AM11" s="63"/>
      <c r="AN11" s="63"/>
      <c r="AO11" s="63"/>
    </row>
    <row r="12" spans="2:56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27" t="s">
        <v>46</v>
      </c>
      <c r="AH12" s="19"/>
      <c r="AI12" s="19"/>
      <c r="AJ12" s="19"/>
      <c r="AK12" s="19"/>
      <c r="AL12" s="19"/>
      <c r="AM12" s="19"/>
      <c r="AN12" s="19"/>
      <c r="AO12" s="19"/>
      <c r="AR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46</v>
      </c>
    </row>
    <row r="13" spans="2:56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19"/>
      <c r="AH13" s="19"/>
      <c r="AI13" s="19"/>
      <c r="AJ13" s="19"/>
      <c r="AK13" s="19"/>
      <c r="AL13" s="19"/>
      <c r="AM13" s="19"/>
      <c r="AN13" s="19"/>
      <c r="AO13" s="19"/>
    </row>
    <row r="14" spans="2:56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64"/>
      <c r="AH14" s="63"/>
      <c r="AI14" s="63"/>
      <c r="AJ14" s="63"/>
      <c r="AK14" s="63"/>
      <c r="AL14" s="63"/>
      <c r="AM14" s="63"/>
      <c r="AN14" s="63"/>
      <c r="AO14" s="63"/>
    </row>
    <row r="15" spans="2:56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188</v>
      </c>
      <c r="X15" s="47" t="s">
        <v>212</v>
      </c>
      <c r="Y15" s="47" t="s">
        <v>216</v>
      </c>
      <c r="Z15" s="47" t="s">
        <v>218</v>
      </c>
      <c r="AA15" s="47" t="s">
        <v>220</v>
      </c>
      <c r="AB15" s="47" t="s">
        <v>223</v>
      </c>
      <c r="AC15" s="47" t="s">
        <v>226</v>
      </c>
      <c r="AD15" s="47" t="s">
        <v>228</v>
      </c>
      <c r="AE15" s="74" t="s">
        <v>230</v>
      </c>
      <c r="AF15" s="99" t="s">
        <v>2</v>
      </c>
      <c r="AH15" s="47" t="s">
        <v>110</v>
      </c>
      <c r="AI15" s="47" t="s">
        <v>111</v>
      </c>
      <c r="AJ15" s="47" t="s">
        <v>112</v>
      </c>
      <c r="AK15" s="47" t="s">
        <v>113</v>
      </c>
      <c r="AL15" s="47" t="s">
        <v>114</v>
      </c>
      <c r="AM15" s="47" t="s">
        <v>115</v>
      </c>
      <c r="AN15" s="47" t="s">
        <v>116</v>
      </c>
      <c r="AO15" s="47" t="s">
        <v>117</v>
      </c>
      <c r="AP15" s="47" t="s">
        <v>118</v>
      </c>
      <c r="AQ15" s="47" t="s">
        <v>119</v>
      </c>
      <c r="AR15" s="47" t="s">
        <v>62</v>
      </c>
      <c r="AS15" s="47" t="s">
        <v>63</v>
      </c>
      <c r="AT15" s="47" t="s">
        <v>64</v>
      </c>
      <c r="AU15" s="47" t="s">
        <v>65</v>
      </c>
      <c r="AV15" s="47" t="s">
        <v>189</v>
      </c>
      <c r="AW15" s="47" t="s">
        <v>213</v>
      </c>
      <c r="AX15" s="47" t="s">
        <v>217</v>
      </c>
      <c r="AY15" s="47" t="s">
        <v>219</v>
      </c>
      <c r="AZ15" s="47" t="s">
        <v>221</v>
      </c>
      <c r="BA15" s="47" t="s">
        <v>224</v>
      </c>
      <c r="BB15" s="47" t="s">
        <v>227</v>
      </c>
      <c r="BC15" s="47" t="s">
        <v>229</v>
      </c>
      <c r="BD15" s="74" t="s">
        <v>232</v>
      </c>
    </row>
    <row r="16" spans="2:56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20">-H7/H6</f>
        <v>1.0763561924257932</v>
      </c>
      <c r="I16" s="49">
        <f t="shared" si="20"/>
        <v>1.0371116968182392</v>
      </c>
      <c r="J16" s="49">
        <f t="shared" si="20"/>
        <v>0.89118136439267892</v>
      </c>
      <c r="K16" s="49">
        <f t="shared" si="20"/>
        <v>1.0317408376963351</v>
      </c>
      <c r="L16" s="49">
        <f t="shared" si="20"/>
        <v>1.0529801324503312</v>
      </c>
      <c r="M16" s="49">
        <f t="shared" si="20"/>
        <v>0.98689759742035432</v>
      </c>
      <c r="N16" s="49">
        <f t="shared" si="20"/>
        <v>0.86449502703424341</v>
      </c>
      <c r="O16" s="49">
        <f t="shared" si="20"/>
        <v>1.0119872136387853</v>
      </c>
      <c r="P16" s="49">
        <f t="shared" si="20"/>
        <v>0.98948751642575561</v>
      </c>
      <c r="Q16" s="49">
        <f t="shared" ref="Q16:AD16" si="21">-Q7/Q6</f>
        <v>0.91007256392536284</v>
      </c>
      <c r="R16" s="49">
        <f t="shared" si="21"/>
        <v>0.86767646167827928</v>
      </c>
      <c r="S16" s="49">
        <f t="shared" si="21"/>
        <v>0.95102448775612192</v>
      </c>
      <c r="T16" s="49">
        <f t="shared" si="21"/>
        <v>0.93661622426196978</v>
      </c>
      <c r="U16" s="49">
        <f t="shared" si="21"/>
        <v>0.88290724352671257</v>
      </c>
      <c r="V16" s="49">
        <f t="shared" si="21"/>
        <v>0.89767153058056504</v>
      </c>
      <c r="W16" s="49">
        <f t="shared" si="21"/>
        <v>0.88268193680051688</v>
      </c>
      <c r="X16" s="49">
        <f t="shared" si="21"/>
        <v>0.854493816020926</v>
      </c>
      <c r="Y16" s="49">
        <f t="shared" si="21"/>
        <v>0.82162055019470281</v>
      </c>
      <c r="Z16" s="49">
        <f t="shared" si="21"/>
        <v>0.81552451923796387</v>
      </c>
      <c r="AA16" s="49">
        <f t="shared" si="21"/>
        <v>0.8027400579438172</v>
      </c>
      <c r="AB16" s="49">
        <f t="shared" si="21"/>
        <v>0.83404230018173564</v>
      </c>
      <c r="AC16" s="49">
        <f t="shared" si="21"/>
        <v>0.79824657460240256</v>
      </c>
      <c r="AD16" s="49">
        <f t="shared" si="21"/>
        <v>0.70794363701135721</v>
      </c>
      <c r="AE16" s="50">
        <f t="shared" ref="AE16" si="22">-AE7/AE6</f>
        <v>0.79687617302274183</v>
      </c>
      <c r="AF16" s="69">
        <f>(AE16-AA16)*100</f>
        <v>-0.58638849210753685</v>
      </c>
      <c r="AH16" s="49">
        <f t="shared" ref="AH16" si="23">-AH7/AH6</f>
        <v>0.96591350455535263</v>
      </c>
      <c r="AI16" s="49">
        <f>-AI7/AI6</f>
        <v>0.64226009777388748</v>
      </c>
      <c r="AJ16" s="49">
        <f t="shared" ref="AJ16:AT16" si="24">-AJ7/AJ6</f>
        <v>1.0317408376963351</v>
      </c>
      <c r="AK16" s="49">
        <f t="shared" si="24"/>
        <v>1.0727328058429701</v>
      </c>
      <c r="AL16" s="49">
        <f t="shared" si="24"/>
        <v>0.86779007980625744</v>
      </c>
      <c r="AM16" s="49">
        <f t="shared" si="24"/>
        <v>0.62877633560733215</v>
      </c>
      <c r="AN16" s="49">
        <f t="shared" si="24"/>
        <v>1.0119872136387853</v>
      </c>
      <c r="AO16" s="49">
        <f t="shared" si="24"/>
        <v>0.96758298755186722</v>
      </c>
      <c r="AP16" s="49">
        <f t="shared" si="24"/>
        <v>0.75769036812909729</v>
      </c>
      <c r="AQ16" s="49">
        <f t="shared" si="24"/>
        <v>0.76810712111990265</v>
      </c>
      <c r="AR16" s="49">
        <f t="shared" si="24"/>
        <v>0.95102448775612192</v>
      </c>
      <c r="AS16" s="49">
        <f t="shared" si="24"/>
        <v>0.92241379310344829</v>
      </c>
      <c r="AT16" s="49">
        <f t="shared" si="24"/>
        <v>0.7783679381941091</v>
      </c>
      <c r="AU16" s="49">
        <f t="shared" ref="AU16:AV16" si="25">-AU7/AU6</f>
        <v>0.94386054857728785</v>
      </c>
      <c r="AV16" s="49">
        <f t="shared" si="25"/>
        <v>0.88268193680051688</v>
      </c>
      <c r="AW16" s="49">
        <f t="shared" ref="AW16" si="26">-AW7/AW6</f>
        <v>0.82686861364364206</v>
      </c>
      <c r="AX16" s="49">
        <f t="shared" ref="AX16:BC16" si="27">-AX7/AX6</f>
        <v>0.75842643416778288</v>
      </c>
      <c r="AY16" s="49">
        <f t="shared" si="27"/>
        <v>0.79838467495504162</v>
      </c>
      <c r="AZ16" s="49">
        <f t="shared" si="27"/>
        <v>0.8027400579438172</v>
      </c>
      <c r="BA16" s="49">
        <f t="shared" si="27"/>
        <v>0.86429577934523816</v>
      </c>
      <c r="BB16" s="49">
        <f t="shared" si="27"/>
        <v>0.73112932228218852</v>
      </c>
      <c r="BC16" s="49">
        <f t="shared" si="27"/>
        <v>0.4874306976307915</v>
      </c>
      <c r="BD16" s="50">
        <f t="shared" ref="BD16" si="28">-BD7/BD6</f>
        <v>0.79687617302274183</v>
      </c>
    </row>
    <row r="17" spans="4:56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9">-(H8+H9)/H6</f>
        <v>0.46816786079836231</v>
      </c>
      <c r="I17" s="49">
        <f t="shared" si="29"/>
        <v>0.62762204508585362</v>
      </c>
      <c r="J17" s="49">
        <f t="shared" si="29"/>
        <v>0.7652246256239601</v>
      </c>
      <c r="K17" s="49">
        <f t="shared" si="29"/>
        <v>2.0942408376963352E-2</v>
      </c>
      <c r="L17" s="49">
        <f t="shared" si="29"/>
        <v>0.42100283822138129</v>
      </c>
      <c r="M17" s="49">
        <f t="shared" si="29"/>
        <v>0.54139289983316363</v>
      </c>
      <c r="N17" s="49">
        <f t="shared" si="29"/>
        <v>0.61678125625792668</v>
      </c>
      <c r="O17" s="49">
        <f t="shared" si="29"/>
        <v>-3.1965903036760786E-2</v>
      </c>
      <c r="P17" s="49">
        <f t="shared" si="29"/>
        <v>0.32207621550591325</v>
      </c>
      <c r="Q17" s="49">
        <f t="shared" si="29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AD17" si="30">-(W8+W9)/W6</f>
        <v>0.52482783379945019</v>
      </c>
      <c r="X17" s="49">
        <f t="shared" si="30"/>
        <v>0.55198612762946075</v>
      </c>
      <c r="Y17" s="49">
        <f t="shared" si="30"/>
        <v>0.58304914319709322</v>
      </c>
      <c r="Z17" s="49">
        <f t="shared" si="30"/>
        <v>0.59110472029711469</v>
      </c>
      <c r="AA17" s="49">
        <f t="shared" si="30"/>
        <v>0.52516388270810588</v>
      </c>
      <c r="AB17" s="49">
        <f t="shared" si="30"/>
        <v>0.50065769891269374</v>
      </c>
      <c r="AC17" s="49">
        <f t="shared" si="30"/>
        <v>0.51343128537015859</v>
      </c>
      <c r="AD17" s="49">
        <f t="shared" si="30"/>
        <v>0.54474665707441983</v>
      </c>
      <c r="AE17" s="50">
        <f t="shared" ref="AE17" si="31">-(AE8+AE9)/AE6</f>
        <v>0.42435339426739793</v>
      </c>
      <c r="AF17" s="69">
        <f>(AE17-AA17)*100</f>
        <v>-10.081048844070795</v>
      </c>
      <c r="AH17" s="49">
        <f t="shared" ref="AH17" si="32">-(AH8+AH9)/AH6</f>
        <v>0.91690719181194136</v>
      </c>
      <c r="AI17" s="49">
        <f>-(AI8+AI9)/AI6</f>
        <v>0.99994079510182987</v>
      </c>
      <c r="AJ17" s="49">
        <f t="shared" ref="AJ17:AT17" si="33">-(AJ8+AJ9)/AJ6</f>
        <v>2.0942408376963352E-2</v>
      </c>
      <c r="AK17" s="49">
        <f t="shared" si="33"/>
        <v>0.79306147291539864</v>
      </c>
      <c r="AL17" s="49">
        <f t="shared" si="33"/>
        <v>0.75838459631519006</v>
      </c>
      <c r="AM17" s="49">
        <f t="shared" si="33"/>
        <v>0.76196157942610032</v>
      </c>
      <c r="AN17" s="49">
        <f t="shared" si="33"/>
        <v>-3.1965903036760786E-2</v>
      </c>
      <c r="AO17" s="49">
        <f t="shared" si="33"/>
        <v>0.66675311203319498</v>
      </c>
      <c r="AP17" s="49">
        <f t="shared" si="33"/>
        <v>0.83055975794251136</v>
      </c>
      <c r="AQ17" s="49">
        <f t="shared" si="33"/>
        <v>0.77601947656725501</v>
      </c>
      <c r="AR17" s="49">
        <f t="shared" si="33"/>
        <v>0.6451774112943528</v>
      </c>
      <c r="AS17" s="49">
        <f t="shared" si="33"/>
        <v>0.63743842364532022</v>
      </c>
      <c r="AT17" s="49">
        <f t="shared" si="33"/>
        <v>0.81409946885562534</v>
      </c>
      <c r="AU17" s="49">
        <f t="shared" ref="AU17:AV17" si="34">-(AU8+AU9)/AU6</f>
        <v>1.0499871827736478</v>
      </c>
      <c r="AV17" s="49">
        <f t="shared" si="34"/>
        <v>0.52482783379945019</v>
      </c>
      <c r="AW17" s="49">
        <f t="shared" ref="AW17" si="35">-(AW8+AW9)/AW6</f>
        <v>0.57860206876091036</v>
      </c>
      <c r="AX17" s="49">
        <f t="shared" ref="AX17:BC17" si="36">-(AX8+AX9)/AX6</f>
        <v>0.64276331398571918</v>
      </c>
      <c r="AY17" s="49">
        <f t="shared" si="36"/>
        <v>0.61375410283524079</v>
      </c>
      <c r="AZ17" s="49">
        <f t="shared" si="36"/>
        <v>0.52516388270810588</v>
      </c>
      <c r="BA17" s="49">
        <f t="shared" si="36"/>
        <v>0.47697258028137213</v>
      </c>
      <c r="BB17" s="49">
        <f t="shared" si="36"/>
        <v>0.53738185520564552</v>
      </c>
      <c r="BC17" s="49">
        <f t="shared" si="36"/>
        <v>0.62121642479752881</v>
      </c>
      <c r="BD17" s="50">
        <f t="shared" ref="BD17" si="37">-(BD8+BD9)/BD6</f>
        <v>0.42435339426739793</v>
      </c>
    </row>
    <row r="18" spans="4:56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8">-(H7+H8+H9)/H6</f>
        <v>1.5445240532241555</v>
      </c>
      <c r="I18" s="51">
        <f t="shared" si="38"/>
        <v>1.6647337419040926</v>
      </c>
      <c r="J18" s="51">
        <f t="shared" si="38"/>
        <v>1.656405990016639</v>
      </c>
      <c r="K18" s="51">
        <f t="shared" si="38"/>
        <v>1.0526832460732984</v>
      </c>
      <c r="L18" s="51">
        <f t="shared" si="38"/>
        <v>1.4739829706717125</v>
      </c>
      <c r="M18" s="51">
        <f t="shared" si="38"/>
        <v>1.5282904972535178</v>
      </c>
      <c r="N18" s="51">
        <f t="shared" si="38"/>
        <v>1.48127628329217</v>
      </c>
      <c r="O18" s="51">
        <f t="shared" si="38"/>
        <v>0.98002131060202446</v>
      </c>
      <c r="P18" s="51">
        <f t="shared" si="38"/>
        <v>1.3115637319316689</v>
      </c>
      <c r="Q18" s="51">
        <f t="shared" si="38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AD18" si="39">-(W7+W8+W9)/W6</f>
        <v>1.4075097705999671</v>
      </c>
      <c r="X18" s="51">
        <f t="shared" si="39"/>
        <v>1.4064799436503868</v>
      </c>
      <c r="Y18" s="51">
        <f t="shared" si="39"/>
        <v>1.4046696933917961</v>
      </c>
      <c r="Z18" s="51">
        <f t="shared" si="39"/>
        <v>1.4066292395350786</v>
      </c>
      <c r="AA18" s="51">
        <f t="shared" si="39"/>
        <v>1.3279039406519231</v>
      </c>
      <c r="AB18" s="51">
        <f t="shared" si="39"/>
        <v>1.3346999990944295</v>
      </c>
      <c r="AC18" s="51">
        <f t="shared" si="39"/>
        <v>1.3116778599725611</v>
      </c>
      <c r="AD18" s="51">
        <f t="shared" si="39"/>
        <v>1.2526902940857771</v>
      </c>
      <c r="AE18" s="52">
        <f t="shared" ref="AE18" si="40">-(AE7+AE8+AE9)/AE6</f>
        <v>1.2212295672901399</v>
      </c>
      <c r="AF18" s="83">
        <f>(AE18-AA18)*100</f>
        <v>-10.66743733617832</v>
      </c>
      <c r="AH18" s="51">
        <f t="shared" ref="AH18" si="41">-(AH7+AH8+AH9)/AH6</f>
        <v>1.882820696367294</v>
      </c>
      <c r="AI18" s="51">
        <f>-(AI7+AI8+AI9)/AI6</f>
        <v>1.6422008928757172</v>
      </c>
      <c r="AJ18" s="51">
        <f t="shared" ref="AJ18:AT18" si="42">-(AJ7+AJ8+AJ9)/AJ6</f>
        <v>1.0526832460732984</v>
      </c>
      <c r="AK18" s="51">
        <f t="shared" si="42"/>
        <v>1.8657942787583688</v>
      </c>
      <c r="AL18" s="51">
        <f t="shared" si="42"/>
        <v>1.6261746761214475</v>
      </c>
      <c r="AM18" s="51">
        <f t="shared" si="42"/>
        <v>1.3907379150334325</v>
      </c>
      <c r="AN18" s="51">
        <f t="shared" si="42"/>
        <v>0.98002131060202446</v>
      </c>
      <c r="AO18" s="51">
        <f t="shared" si="42"/>
        <v>1.6343360995850622</v>
      </c>
      <c r="AP18" s="51">
        <f t="shared" si="42"/>
        <v>1.5882501260716086</v>
      </c>
      <c r="AQ18" s="51">
        <f t="shared" si="42"/>
        <v>1.5441265976871577</v>
      </c>
      <c r="AR18" s="51">
        <f t="shared" si="42"/>
        <v>1.5962018990504747</v>
      </c>
      <c r="AS18" s="51">
        <f t="shared" si="42"/>
        <v>1.5598522167487685</v>
      </c>
      <c r="AT18" s="51">
        <f t="shared" si="42"/>
        <v>1.5924674070497344</v>
      </c>
      <c r="AU18" s="51">
        <f t="shared" ref="AU18:AV18" si="43">-(AU7+AU8+AU9)/AU6</f>
        <v>1.9938477313509357</v>
      </c>
      <c r="AV18" s="51">
        <f t="shared" si="43"/>
        <v>1.4075097705999671</v>
      </c>
      <c r="AW18" s="51">
        <f t="shared" ref="AW18" si="44">-(AW7+AW8+AW9)/AW6</f>
        <v>1.4054706824045524</v>
      </c>
      <c r="AX18" s="51">
        <f t="shared" ref="AX18:BC18" si="45">-(AX7+AX8+AX9)/AX6</f>
        <v>1.4011897481535021</v>
      </c>
      <c r="AY18" s="51">
        <f t="shared" si="45"/>
        <v>1.4121387777902825</v>
      </c>
      <c r="AZ18" s="51">
        <f t="shared" si="45"/>
        <v>1.3279039406519231</v>
      </c>
      <c r="BA18" s="51">
        <f t="shared" si="45"/>
        <v>1.3412683596266102</v>
      </c>
      <c r="BB18" s="51">
        <f t="shared" si="45"/>
        <v>1.2685111774878342</v>
      </c>
      <c r="BC18" s="51">
        <f t="shared" si="45"/>
        <v>1.1086471224283203</v>
      </c>
      <c r="BD18" s="52">
        <f t="shared" ref="BD18" si="46">-(BD7+BD8+BD9)/BD6</f>
        <v>1.2212295672901399</v>
      </c>
    </row>
    <row r="19" spans="4:56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45"/>
    </row>
    <row r="20" spans="4:56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R10 S10:AE10" formulaRange="1"/>
    <ignoredError sqref="AJ5:AU10 AV5:AV10 AZ5:AZ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BD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5" width="11" style="73" hidden="1" customWidth="1" outlineLevel="1" collapsed="1"/>
    <col min="26" max="26" width="11" style="73" customWidth="1" collapsed="1"/>
    <col min="27" max="27" width="11" style="73" customWidth="1"/>
    <col min="28" max="29" width="11" style="73" hidden="1" customWidth="1" outlineLevel="1"/>
    <col min="30" max="30" width="11" style="73" customWidth="1" collapsed="1"/>
    <col min="31" max="32" width="11" style="73" customWidth="1"/>
    <col min="33" max="33" width="3" style="13" customWidth="1"/>
    <col min="34" max="16384" width="10.85546875" style="73"/>
  </cols>
  <sheetData>
    <row r="1" spans="2:56" ht="16.5" customHeight="1" x14ac:dyDescent="0.2"/>
    <row r="2" spans="2:56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44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188</v>
      </c>
      <c r="X4" s="47" t="s">
        <v>212</v>
      </c>
      <c r="Y4" s="47" t="s">
        <v>216</v>
      </c>
      <c r="Z4" s="47" t="s">
        <v>218</v>
      </c>
      <c r="AA4" s="47" t="s">
        <v>220</v>
      </c>
      <c r="AB4" s="47" t="s">
        <v>223</v>
      </c>
      <c r="AC4" s="47" t="s">
        <v>226</v>
      </c>
      <c r="AD4" s="47" t="s">
        <v>228</v>
      </c>
      <c r="AE4" s="176" t="s">
        <v>230</v>
      </c>
      <c r="AF4" s="75" t="s">
        <v>0</v>
      </c>
      <c r="AG4" s="13"/>
      <c r="AH4" s="47" t="s">
        <v>110</v>
      </c>
      <c r="AI4" s="47" t="s">
        <v>111</v>
      </c>
      <c r="AJ4" s="47" t="s">
        <v>112</v>
      </c>
      <c r="AK4" s="47" t="s">
        <v>113</v>
      </c>
      <c r="AL4" s="47" t="s">
        <v>114</v>
      </c>
      <c r="AM4" s="47" t="s">
        <v>115</v>
      </c>
      <c r="AN4" s="47" t="s">
        <v>116</v>
      </c>
      <c r="AO4" s="47" t="s">
        <v>117</v>
      </c>
      <c r="AP4" s="47" t="s">
        <v>118</v>
      </c>
      <c r="AQ4" s="47" t="s">
        <v>119</v>
      </c>
      <c r="AR4" s="47" t="s">
        <v>62</v>
      </c>
      <c r="AS4" s="47" t="s">
        <v>63</v>
      </c>
      <c r="AT4" s="47" t="s">
        <v>64</v>
      </c>
      <c r="AU4" s="47" t="s">
        <v>65</v>
      </c>
      <c r="AV4" s="47" t="s">
        <v>189</v>
      </c>
      <c r="AW4" s="47" t="s">
        <v>213</v>
      </c>
      <c r="AX4" s="47" t="s">
        <v>217</v>
      </c>
      <c r="AY4" s="47" t="s">
        <v>219</v>
      </c>
      <c r="AZ4" s="47" t="s">
        <v>221</v>
      </c>
      <c r="BA4" s="47" t="s">
        <v>224</v>
      </c>
      <c r="BB4" s="47" t="s">
        <v>227</v>
      </c>
      <c r="BC4" s="47" t="s">
        <v>229</v>
      </c>
      <c r="BD4" s="74" t="s">
        <v>232</v>
      </c>
    </row>
    <row r="5" spans="2:56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6">
        <v>1358.5527999999999</v>
      </c>
      <c r="Z5" s="76">
        <v>1694.0197000000001</v>
      </c>
      <c r="AA5" s="76">
        <v>1375.08116</v>
      </c>
      <c r="AB5" s="76">
        <v>2103.7755200000001</v>
      </c>
      <c r="AC5" s="76">
        <v>3004.66329</v>
      </c>
      <c r="AD5" s="76">
        <v>3945.5780299999997</v>
      </c>
      <c r="AE5" s="77">
        <v>2200.1366600000001</v>
      </c>
      <c r="AF5" s="78">
        <f>+AE5/AA5-1</f>
        <v>0.60000494807157434</v>
      </c>
      <c r="AH5" s="76">
        <f t="shared" ref="AH5:AI10" si="0">I5-H5</f>
        <v>2.5858000000000629</v>
      </c>
      <c r="AI5" s="76">
        <f t="shared" si="0"/>
        <v>19.42870999999991</v>
      </c>
      <c r="AJ5" s="76">
        <f t="shared" ref="AJ5:AJ10" si="1">K5</f>
        <v>1349</v>
      </c>
      <c r="AK5" s="76">
        <f t="shared" ref="AK5:AM10" si="2">L5-K5</f>
        <v>14</v>
      </c>
      <c r="AL5" s="76">
        <f t="shared" si="2"/>
        <v>16.129040000000032</v>
      </c>
      <c r="AM5" s="76">
        <f t="shared" si="2"/>
        <v>17.870959999999968</v>
      </c>
      <c r="AN5" s="76">
        <f t="shared" ref="AN5:AN10" si="3">O5</f>
        <v>1061</v>
      </c>
      <c r="AO5" s="76">
        <f t="shared" ref="AO5:AQ10" si="4">P5-O5</f>
        <v>7</v>
      </c>
      <c r="AP5" s="76">
        <f t="shared" si="4"/>
        <v>14</v>
      </c>
      <c r="AQ5" s="76">
        <f t="shared" si="4"/>
        <v>15</v>
      </c>
      <c r="AR5" s="76">
        <f t="shared" ref="AR5:AR10" si="5">S5</f>
        <v>741</v>
      </c>
      <c r="AS5" s="76">
        <f t="shared" ref="AS5:AU10" si="6">T5-S5</f>
        <v>13</v>
      </c>
      <c r="AT5" s="76">
        <f t="shared" si="6"/>
        <v>13</v>
      </c>
      <c r="AU5" s="76">
        <f t="shared" si="6"/>
        <v>16</v>
      </c>
      <c r="AV5" s="76">
        <f t="shared" ref="AV5:AV10" si="7">W5</f>
        <v>798.91554000000008</v>
      </c>
      <c r="AW5" s="76">
        <f t="shared" ref="AW5:AY11" si="8">X5-W5</f>
        <v>233.87334999999973</v>
      </c>
      <c r="AX5" s="76">
        <f t="shared" si="8"/>
        <v>325.76391000000012</v>
      </c>
      <c r="AY5" s="76">
        <f t="shared" si="8"/>
        <v>335.46690000000012</v>
      </c>
      <c r="AZ5" s="76">
        <f t="shared" ref="AZ5:AZ10" si="9">AA5</f>
        <v>1375.08116</v>
      </c>
      <c r="BA5" s="76">
        <f t="shared" ref="BA5:BC10" si="10">AB5-AA5</f>
        <v>728.69436000000019</v>
      </c>
      <c r="BB5" s="76">
        <f t="shared" si="10"/>
        <v>900.88776999999982</v>
      </c>
      <c r="BC5" s="76">
        <f t="shared" si="10"/>
        <v>940.91473999999971</v>
      </c>
      <c r="BD5" s="77">
        <f t="shared" ref="BD5:BD10" si="11">AE5</f>
        <v>2200.1366600000001</v>
      </c>
    </row>
    <row r="6" spans="2:56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6">
        <v>714.09659999999951</v>
      </c>
      <c r="Z6" s="76">
        <v>1088.3109700000005</v>
      </c>
      <c r="AA6" s="76">
        <v>552.45687999999973</v>
      </c>
      <c r="AB6" s="76">
        <v>1112.7814499999999</v>
      </c>
      <c r="AC6" s="76">
        <v>1778.7546800000002</v>
      </c>
      <c r="AD6" s="76">
        <v>2554.6545099999994</v>
      </c>
      <c r="AE6" s="77">
        <v>923.13608000000033</v>
      </c>
      <c r="AF6" s="78">
        <f>+AE6/AA6-1</f>
        <v>0.67096494481162194</v>
      </c>
      <c r="AH6" s="76">
        <f t="shared" si="0"/>
        <v>418.30776000000151</v>
      </c>
      <c r="AI6" s="76">
        <f t="shared" si="0"/>
        <v>511.49907999999891</v>
      </c>
      <c r="AJ6" s="76">
        <f t="shared" si="1"/>
        <v>324</v>
      </c>
      <c r="AK6" s="76">
        <f t="shared" si="2"/>
        <v>355</v>
      </c>
      <c r="AL6" s="76">
        <f t="shared" si="2"/>
        <v>353.80626999999913</v>
      </c>
      <c r="AM6" s="76">
        <f t="shared" si="2"/>
        <v>355.19373000000087</v>
      </c>
      <c r="AN6" s="76">
        <f t="shared" si="3"/>
        <v>481</v>
      </c>
      <c r="AO6" s="76">
        <f t="shared" si="4"/>
        <v>256</v>
      </c>
      <c r="AP6" s="76">
        <f t="shared" si="4"/>
        <v>164</v>
      </c>
      <c r="AQ6" s="76">
        <f t="shared" si="4"/>
        <v>164</v>
      </c>
      <c r="AR6" s="76">
        <f t="shared" si="5"/>
        <v>234</v>
      </c>
      <c r="AS6" s="76">
        <f t="shared" si="6"/>
        <v>178</v>
      </c>
      <c r="AT6" s="76">
        <f t="shared" si="6"/>
        <v>180</v>
      </c>
      <c r="AU6" s="76">
        <f t="shared" si="6"/>
        <v>181</v>
      </c>
      <c r="AV6" s="76">
        <f t="shared" si="7"/>
        <v>188.66217999999992</v>
      </c>
      <c r="AW6" s="76">
        <f t="shared" si="8"/>
        <v>227.33343999999983</v>
      </c>
      <c r="AX6" s="76">
        <f t="shared" si="8"/>
        <v>298.10097999999977</v>
      </c>
      <c r="AY6" s="76">
        <f t="shared" si="8"/>
        <v>374.21437000000094</v>
      </c>
      <c r="AZ6" s="76">
        <f t="shared" si="9"/>
        <v>552.45687999999973</v>
      </c>
      <c r="BA6" s="76">
        <f t="shared" si="10"/>
        <v>560.32457000000022</v>
      </c>
      <c r="BB6" s="76">
        <f t="shared" si="10"/>
        <v>665.97323000000029</v>
      </c>
      <c r="BC6" s="76">
        <f t="shared" si="10"/>
        <v>775.89982999999916</v>
      </c>
      <c r="BD6" s="77">
        <f t="shared" si="11"/>
        <v>923.13608000000033</v>
      </c>
    </row>
    <row r="7" spans="2:56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6">
        <v>-67.451780000000127</v>
      </c>
      <c r="Z7" s="56">
        <v>-102.13211999999989</v>
      </c>
      <c r="AA7" s="56">
        <v>-42.06187999999991</v>
      </c>
      <c r="AB7" s="56">
        <v>-113.12357000000007</v>
      </c>
      <c r="AC7" s="56">
        <v>-280.20301233800035</v>
      </c>
      <c r="AD7" s="56">
        <v>-541.37993119500027</v>
      </c>
      <c r="AE7" s="57">
        <v>-366.57999551499995</v>
      </c>
      <c r="AF7" s="79">
        <f>+AE7/AA7-1</f>
        <v>7.7152546561161977</v>
      </c>
      <c r="AH7" s="56">
        <f t="shared" si="0"/>
        <v>-89.526849999999399</v>
      </c>
      <c r="AI7" s="56">
        <f t="shared" si="0"/>
        <v>124.03276999999957</v>
      </c>
      <c r="AJ7" s="56">
        <f t="shared" si="1"/>
        <v>-38</v>
      </c>
      <c r="AK7" s="56">
        <f t="shared" si="2"/>
        <v>6</v>
      </c>
      <c r="AL7" s="56">
        <f t="shared" si="2"/>
        <v>-5.0014700000002108</v>
      </c>
      <c r="AM7" s="56">
        <f t="shared" si="2"/>
        <v>37.001470000000211</v>
      </c>
      <c r="AN7" s="56">
        <f t="shared" si="3"/>
        <v>-49</v>
      </c>
      <c r="AO7" s="56">
        <f t="shared" si="4"/>
        <v>28</v>
      </c>
      <c r="AP7" s="56">
        <f t="shared" si="4"/>
        <v>-15</v>
      </c>
      <c r="AQ7" s="56">
        <f t="shared" si="4"/>
        <v>26</v>
      </c>
      <c r="AR7" s="56">
        <f t="shared" si="5"/>
        <v>-19</v>
      </c>
      <c r="AS7" s="56">
        <f t="shared" si="6"/>
        <v>-24</v>
      </c>
      <c r="AT7" s="56">
        <f t="shared" si="6"/>
        <v>-34</v>
      </c>
      <c r="AU7" s="56">
        <f t="shared" si="6"/>
        <v>-7</v>
      </c>
      <c r="AV7" s="56">
        <f t="shared" si="7"/>
        <v>-16.717249999999936</v>
      </c>
      <c r="AW7" s="56">
        <f t="shared" si="8"/>
        <v>-33.543550000000067</v>
      </c>
      <c r="AX7" s="56">
        <f t="shared" si="8"/>
        <v>-17.190980000000124</v>
      </c>
      <c r="AY7" s="56">
        <f t="shared" si="8"/>
        <v>-34.680339999999759</v>
      </c>
      <c r="AZ7" s="56">
        <f t="shared" si="9"/>
        <v>-42.06187999999991</v>
      </c>
      <c r="BA7" s="56">
        <f t="shared" si="10"/>
        <v>-71.061690000000169</v>
      </c>
      <c r="BB7" s="56">
        <f t="shared" si="10"/>
        <v>-167.07944233800026</v>
      </c>
      <c r="BC7" s="56">
        <f t="shared" si="10"/>
        <v>-261.17691885699992</v>
      </c>
      <c r="BD7" s="57">
        <f t="shared" si="11"/>
        <v>-366.57999551499995</v>
      </c>
    </row>
    <row r="8" spans="2:56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6">
        <v>-237.81084999999999</v>
      </c>
      <c r="Z8" s="56">
        <v>-309.66354999999999</v>
      </c>
      <c r="AA8" s="56">
        <v>-9.2887500000000003</v>
      </c>
      <c r="AB8" s="56">
        <v>-18.577500000000001</v>
      </c>
      <c r="AC8" s="56">
        <v>-64.519270000000006</v>
      </c>
      <c r="AD8" s="56">
        <v>-73.808019999999985</v>
      </c>
      <c r="AE8" s="57">
        <v>2.1209099999999999</v>
      </c>
      <c r="AF8" s="79">
        <f>+AE8/AA8-1</f>
        <v>-1.2283310456197012</v>
      </c>
      <c r="AH8" s="56">
        <f t="shared" si="0"/>
        <v>-82.933780000000013</v>
      </c>
      <c r="AI8" s="56">
        <f t="shared" si="0"/>
        <v>-208.14421999999996</v>
      </c>
      <c r="AJ8" s="56">
        <f t="shared" si="1"/>
        <v>-184</v>
      </c>
      <c r="AK8" s="56">
        <f t="shared" si="2"/>
        <v>12</v>
      </c>
      <c r="AL8" s="56">
        <f t="shared" si="2"/>
        <v>-214.88099</v>
      </c>
      <c r="AM8" s="56">
        <f t="shared" si="2"/>
        <v>-207.11901</v>
      </c>
      <c r="AN8" s="56">
        <f t="shared" si="3"/>
        <v>-118</v>
      </c>
      <c r="AO8" s="56">
        <f t="shared" si="4"/>
        <v>-117</v>
      </c>
      <c r="AP8" s="56">
        <f t="shared" si="4"/>
        <v>-118</v>
      </c>
      <c r="AQ8" s="56">
        <f t="shared" si="4"/>
        <v>-284</v>
      </c>
      <c r="AR8" s="56">
        <f t="shared" si="5"/>
        <v>-76</v>
      </c>
      <c r="AS8" s="56">
        <f t="shared" si="6"/>
        <v>-75</v>
      </c>
      <c r="AT8" s="56">
        <f t="shared" si="6"/>
        <v>-76</v>
      </c>
      <c r="AU8" s="56">
        <f t="shared" si="6"/>
        <v>-166</v>
      </c>
      <c r="AV8" s="56">
        <f t="shared" si="7"/>
        <v>-94.10544999999999</v>
      </c>
      <c r="AW8" s="56">
        <f t="shared" si="8"/>
        <v>-71.852699999999999</v>
      </c>
      <c r="AX8" s="56">
        <f t="shared" si="8"/>
        <v>-71.852699999999999</v>
      </c>
      <c r="AY8" s="56">
        <f t="shared" si="8"/>
        <v>-71.852699999999999</v>
      </c>
      <c r="AZ8" s="56">
        <f t="shared" si="9"/>
        <v>-9.2887500000000003</v>
      </c>
      <c r="BA8" s="56">
        <f t="shared" si="10"/>
        <v>-9.2887500000000003</v>
      </c>
      <c r="BB8" s="56">
        <f t="shared" si="10"/>
        <v>-45.941770000000005</v>
      </c>
      <c r="BC8" s="56">
        <f t="shared" si="10"/>
        <v>-9.288749999999979</v>
      </c>
      <c r="BD8" s="57">
        <f t="shared" si="11"/>
        <v>2.1209099999999999</v>
      </c>
    </row>
    <row r="9" spans="2:56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6">
        <v>-484.61062249599996</v>
      </c>
      <c r="Z9" s="56">
        <v>-1012.43877176</v>
      </c>
      <c r="AA9" s="56">
        <v>-309.41568599359994</v>
      </c>
      <c r="AB9" s="56">
        <v>-1095.0470347472999</v>
      </c>
      <c r="AC9" s="56">
        <v>-1599.6822936592002</v>
      </c>
      <c r="AD9" s="56">
        <v>-2019.5586188667999</v>
      </c>
      <c r="AE9" s="57">
        <v>-296.98126123700001</v>
      </c>
      <c r="AF9" s="79">
        <f>+AE9/AA9-1</f>
        <v>-4.0186795044570345E-2</v>
      </c>
      <c r="AH9" s="56">
        <f t="shared" si="0"/>
        <v>-114.38643457920001</v>
      </c>
      <c r="AI9" s="56">
        <f t="shared" si="0"/>
        <v>-142.63747877119999</v>
      </c>
      <c r="AJ9" s="56">
        <f t="shared" si="1"/>
        <v>-8</v>
      </c>
      <c r="AK9" s="56">
        <f t="shared" si="2"/>
        <v>-2</v>
      </c>
      <c r="AL9" s="56">
        <f t="shared" si="2"/>
        <v>-2.3646754887999997</v>
      </c>
      <c r="AM9" s="56">
        <f t="shared" si="2"/>
        <v>-100.6353245112</v>
      </c>
      <c r="AN9" s="56">
        <f t="shared" si="3"/>
        <v>-50</v>
      </c>
      <c r="AO9" s="56">
        <f t="shared" si="4"/>
        <v>-26</v>
      </c>
      <c r="AP9" s="56">
        <f t="shared" si="4"/>
        <v>12</v>
      </c>
      <c r="AQ9" s="56">
        <f t="shared" si="4"/>
        <v>-2</v>
      </c>
      <c r="AR9" s="56">
        <f t="shared" si="5"/>
        <v>-36</v>
      </c>
      <c r="AS9" s="56">
        <f t="shared" si="6"/>
        <v>-7</v>
      </c>
      <c r="AT9" s="56">
        <f t="shared" si="6"/>
        <v>-14</v>
      </c>
      <c r="AU9" s="56">
        <f t="shared" si="6"/>
        <v>-1</v>
      </c>
      <c r="AV9" s="56">
        <f t="shared" si="7"/>
        <v>-136.42063540800001</v>
      </c>
      <c r="AW9" s="56">
        <f t="shared" si="8"/>
        <v>-131.39565639839998</v>
      </c>
      <c r="AX9" s="56">
        <f t="shared" si="8"/>
        <v>-216.79433068959997</v>
      </c>
      <c r="AY9" s="56">
        <f t="shared" si="8"/>
        <v>-527.8281492640001</v>
      </c>
      <c r="AZ9" s="56">
        <f t="shared" si="9"/>
        <v>-309.41568599359994</v>
      </c>
      <c r="BA9" s="56">
        <f t="shared" si="10"/>
        <v>-785.63134875369997</v>
      </c>
      <c r="BB9" s="56">
        <f t="shared" si="10"/>
        <v>-504.63525891190034</v>
      </c>
      <c r="BC9" s="56">
        <f t="shared" si="10"/>
        <v>-419.87632520759962</v>
      </c>
      <c r="BD9" s="57">
        <f t="shared" si="11"/>
        <v>-296.98126123700001</v>
      </c>
    </row>
    <row r="10" spans="2:56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7">
        <v>0</v>
      </c>
      <c r="AF10" s="79" t="s">
        <v>7</v>
      </c>
      <c r="AH10" s="56">
        <f t="shared" si="0"/>
        <v>0</v>
      </c>
      <c r="AI10" s="56">
        <f t="shared" si="0"/>
        <v>0</v>
      </c>
      <c r="AJ10" s="56">
        <f t="shared" si="1"/>
        <v>0</v>
      </c>
      <c r="AK10" s="56">
        <f t="shared" si="2"/>
        <v>0</v>
      </c>
      <c r="AL10" s="56">
        <f t="shared" si="2"/>
        <v>0</v>
      </c>
      <c r="AM10" s="56">
        <f t="shared" si="2"/>
        <v>0</v>
      </c>
      <c r="AN10" s="56">
        <f t="shared" si="3"/>
        <v>0</v>
      </c>
      <c r="AO10" s="56">
        <f t="shared" si="4"/>
        <v>0</v>
      </c>
      <c r="AP10" s="56">
        <f t="shared" si="4"/>
        <v>0</v>
      </c>
      <c r="AQ10" s="56">
        <f t="shared" si="4"/>
        <v>0</v>
      </c>
      <c r="AR10" s="56">
        <f t="shared" si="5"/>
        <v>0</v>
      </c>
      <c r="AS10" s="56">
        <f t="shared" si="6"/>
        <v>0</v>
      </c>
      <c r="AT10" s="56">
        <f t="shared" si="6"/>
        <v>0</v>
      </c>
      <c r="AU10" s="56">
        <f t="shared" si="6"/>
        <v>0</v>
      </c>
      <c r="AV10" s="56">
        <f t="shared" si="7"/>
        <v>0</v>
      </c>
      <c r="AW10" s="56">
        <f t="shared" si="8"/>
        <v>0</v>
      </c>
      <c r="AX10" s="56">
        <f t="shared" si="8"/>
        <v>0</v>
      </c>
      <c r="AY10" s="56">
        <f t="shared" si="8"/>
        <v>0</v>
      </c>
      <c r="AZ10" s="56">
        <f t="shared" si="9"/>
        <v>0</v>
      </c>
      <c r="BA10" s="56">
        <f t="shared" si="10"/>
        <v>0</v>
      </c>
      <c r="BB10" s="56">
        <f t="shared" si="10"/>
        <v>0</v>
      </c>
      <c r="BC10" s="56">
        <f t="shared" si="10"/>
        <v>0</v>
      </c>
      <c r="BD10" s="57">
        <f t="shared" si="11"/>
        <v>0</v>
      </c>
    </row>
    <row r="11" spans="2:56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2">SUM(H6:H10)</f>
        <v>247.78915335039915</v>
      </c>
      <c r="I11" s="59">
        <f t="shared" si="12"/>
        <v>379.24984877120119</v>
      </c>
      <c r="J11" s="59">
        <f t="shared" si="12"/>
        <v>663.99999999999977</v>
      </c>
      <c r="K11" s="59">
        <f t="shared" si="12"/>
        <v>94</v>
      </c>
      <c r="L11" s="59">
        <f t="shared" si="12"/>
        <v>465</v>
      </c>
      <c r="M11" s="59">
        <f t="shared" si="12"/>
        <v>596.55913451119898</v>
      </c>
      <c r="N11" s="59">
        <f t="shared" si="12"/>
        <v>681</v>
      </c>
      <c r="O11" s="59">
        <f t="shared" si="12"/>
        <v>264</v>
      </c>
      <c r="P11" s="59">
        <f t="shared" si="12"/>
        <v>405</v>
      </c>
      <c r="Q11" s="59">
        <f t="shared" si="12"/>
        <v>448</v>
      </c>
      <c r="R11" s="59">
        <f t="shared" si="12"/>
        <v>352</v>
      </c>
      <c r="S11" s="59">
        <f t="shared" si="12"/>
        <v>103</v>
      </c>
      <c r="T11" s="59">
        <f t="shared" ref="T11:AD11" si="13">SUM(T6:T10)</f>
        <v>175</v>
      </c>
      <c r="U11" s="59">
        <f t="shared" si="13"/>
        <v>231</v>
      </c>
      <c r="V11" s="59">
        <f t="shared" si="13"/>
        <v>238</v>
      </c>
      <c r="W11" s="59">
        <f t="shared" si="13"/>
        <v>-58.581155408000001</v>
      </c>
      <c r="X11" s="59">
        <f t="shared" si="13"/>
        <v>-68.039621806400248</v>
      </c>
      <c r="Y11" s="59">
        <f t="shared" si="13"/>
        <v>-75.776652496000509</v>
      </c>
      <c r="Z11" s="59">
        <f t="shared" si="13"/>
        <v>-335.92347175999942</v>
      </c>
      <c r="AA11" s="59">
        <f t="shared" si="13"/>
        <v>191.69056400639988</v>
      </c>
      <c r="AB11" s="59">
        <f t="shared" si="13"/>
        <v>-113.96665474730003</v>
      </c>
      <c r="AC11" s="59">
        <f t="shared" si="13"/>
        <v>-165.64989599720025</v>
      </c>
      <c r="AD11" s="59">
        <f t="shared" si="13"/>
        <v>-80.092060061800566</v>
      </c>
      <c r="AE11" s="60">
        <f t="shared" ref="AE11" si="14">SUM(AE6:AE10)</f>
        <v>261.69573324800035</v>
      </c>
      <c r="AF11" s="95">
        <f>+AE11/AA11-1</f>
        <v>0.36519882762337352</v>
      </c>
      <c r="AH11" s="59">
        <f t="shared" ref="AH11:AK11" si="15">SUM(AH6:AH10)</f>
        <v>131.4606954208021</v>
      </c>
      <c r="AI11" s="59">
        <f t="shared" si="15"/>
        <v>284.75015122879853</v>
      </c>
      <c r="AJ11" s="59">
        <f t="shared" si="15"/>
        <v>94</v>
      </c>
      <c r="AK11" s="59">
        <f t="shared" si="15"/>
        <v>371</v>
      </c>
      <c r="AL11" s="59">
        <f>SUM(AL6:AL10)</f>
        <v>131.55913451119892</v>
      </c>
      <c r="AM11" s="59">
        <f>SUM(AM6:AM10)</f>
        <v>84.44086548880108</v>
      </c>
      <c r="AN11" s="59">
        <f>SUM(AN6:AN10)</f>
        <v>264</v>
      </c>
      <c r="AO11" s="59">
        <f t="shared" ref="AO11:AP11" si="16">SUM(AO6:AO10)</f>
        <v>141</v>
      </c>
      <c r="AP11" s="59">
        <f t="shared" si="16"/>
        <v>43</v>
      </c>
      <c r="AQ11" s="59">
        <f>SUM(AQ6:AQ10)</f>
        <v>-96</v>
      </c>
      <c r="AR11" s="59">
        <f>SUM(AR6:AR10)</f>
        <v>103</v>
      </c>
      <c r="AS11" s="59">
        <f>SUM(AS6:AS10)</f>
        <v>72</v>
      </c>
      <c r="AT11" s="59">
        <f>SUM(AT6:AT10)</f>
        <v>56</v>
      </c>
      <c r="AU11" s="59">
        <f>SUM(AU6:AU10)</f>
        <v>7</v>
      </c>
      <c r="AV11" s="59">
        <f t="shared" ref="AV11" si="17">SUM(AV6:AV10)</f>
        <v>-58.581155408000001</v>
      </c>
      <c r="AW11" s="59">
        <f t="shared" si="8"/>
        <v>-9.4584663984002475</v>
      </c>
      <c r="AX11" s="59">
        <f t="shared" si="8"/>
        <v>-7.7370306896002603</v>
      </c>
      <c r="AY11" s="59">
        <f t="shared" si="8"/>
        <v>-260.14681926399891</v>
      </c>
      <c r="AZ11" s="59">
        <f t="shared" ref="AZ11:BC11" si="18">SUM(AZ6:AZ10)</f>
        <v>191.69056400639988</v>
      </c>
      <c r="BA11" s="59">
        <f t="shared" si="18"/>
        <v>-305.65721875369991</v>
      </c>
      <c r="BB11" s="59">
        <f t="shared" si="18"/>
        <v>-51.683241249900334</v>
      </c>
      <c r="BC11" s="59">
        <f t="shared" si="18"/>
        <v>85.557835935399623</v>
      </c>
      <c r="BD11" s="60">
        <f t="shared" ref="BD11" si="19">SUM(BD6:BD10)</f>
        <v>261.69573324800035</v>
      </c>
    </row>
    <row r="12" spans="2:56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9"/>
      <c r="AG12" s="13"/>
    </row>
    <row r="13" spans="2:56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27" t="s">
        <v>46</v>
      </c>
      <c r="AG13" s="13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 t="s">
        <v>46</v>
      </c>
    </row>
    <row r="14" spans="2:56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3"/>
    </row>
    <row r="15" spans="2:56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9"/>
      <c r="AG15" s="13"/>
    </row>
    <row r="16" spans="2:56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188</v>
      </c>
      <c r="X16" s="47" t="s">
        <v>212</v>
      </c>
      <c r="Y16" s="47" t="s">
        <v>216</v>
      </c>
      <c r="Z16" s="47" t="s">
        <v>218</v>
      </c>
      <c r="AA16" s="47" t="s">
        <v>220</v>
      </c>
      <c r="AB16" s="47" t="s">
        <v>223</v>
      </c>
      <c r="AC16" s="47" t="s">
        <v>226</v>
      </c>
      <c r="AD16" s="47" t="s">
        <v>228</v>
      </c>
      <c r="AE16" s="176" t="s">
        <v>230</v>
      </c>
      <c r="AF16" s="99" t="s">
        <v>2</v>
      </c>
      <c r="AG16" s="13"/>
      <c r="AH16" s="47" t="s">
        <v>110</v>
      </c>
      <c r="AI16" s="47" t="s">
        <v>111</v>
      </c>
      <c r="AJ16" s="47" t="s">
        <v>112</v>
      </c>
      <c r="AK16" s="47" t="s">
        <v>113</v>
      </c>
      <c r="AL16" s="47" t="s">
        <v>114</v>
      </c>
      <c r="AM16" s="47" t="s">
        <v>115</v>
      </c>
      <c r="AN16" s="47" t="s">
        <v>116</v>
      </c>
      <c r="AO16" s="47" t="s">
        <v>117</v>
      </c>
      <c r="AP16" s="47" t="s">
        <v>118</v>
      </c>
      <c r="AQ16" s="47" t="s">
        <v>119</v>
      </c>
      <c r="AR16" s="47" t="s">
        <v>62</v>
      </c>
      <c r="AS16" s="47" t="s">
        <v>63</v>
      </c>
      <c r="AT16" s="47" t="s">
        <v>64</v>
      </c>
      <c r="AU16" s="47" t="s">
        <v>65</v>
      </c>
      <c r="AV16" s="47" t="s">
        <v>189</v>
      </c>
      <c r="AW16" s="47" t="s">
        <v>213</v>
      </c>
      <c r="AX16" s="47" t="s">
        <v>217</v>
      </c>
      <c r="AY16" s="47" t="s">
        <v>219</v>
      </c>
      <c r="AZ16" s="47" t="s">
        <v>221</v>
      </c>
      <c r="BA16" s="47" t="s">
        <v>224</v>
      </c>
      <c r="BB16" s="47" t="s">
        <v>227</v>
      </c>
      <c r="BC16" s="47" t="s">
        <v>229</v>
      </c>
      <c r="BD16" s="74" t="s">
        <v>232</v>
      </c>
    </row>
    <row r="17" spans="4:56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20">-H7/H6</f>
        <v>0.30338970004232363</v>
      </c>
      <c r="I17" s="49">
        <f t="shared" si="20"/>
        <v>0.27837572023709384</v>
      </c>
      <c r="J17" s="49">
        <f t="shared" si="20"/>
        <v>0.14556331006979065</v>
      </c>
      <c r="K17" s="49">
        <f t="shared" si="20"/>
        <v>0.11728395061728394</v>
      </c>
      <c r="L17" s="49">
        <f t="shared" si="20"/>
        <v>4.7128129602356406E-2</v>
      </c>
      <c r="M17" s="49">
        <f t="shared" si="20"/>
        <v>3.5826147724684364E-2</v>
      </c>
      <c r="N17" s="49">
        <f t="shared" si="20"/>
        <v>0</v>
      </c>
      <c r="O17" s="49">
        <f t="shared" si="20"/>
        <v>0.10187110187110188</v>
      </c>
      <c r="P17" s="49">
        <f t="shared" si="20"/>
        <v>2.8493894165535955E-2</v>
      </c>
      <c r="Q17" s="49">
        <f t="shared" si="20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AD17" si="21">-W7/W6</f>
        <v>8.8609439369352894E-2</v>
      </c>
      <c r="X17" s="49">
        <f t="shared" si="21"/>
        <v>0.12082050286971779</v>
      </c>
      <c r="Y17" s="49">
        <f t="shared" si="21"/>
        <v>9.4457500567850586E-2</v>
      </c>
      <c r="Z17" s="49">
        <f t="shared" si="21"/>
        <v>9.3844611343024367E-2</v>
      </c>
      <c r="AA17" s="49">
        <f t="shared" si="21"/>
        <v>7.6136041603826046E-2</v>
      </c>
      <c r="AB17" s="49">
        <f t="shared" si="21"/>
        <v>0.10165838943487068</v>
      </c>
      <c r="AC17" s="49">
        <f t="shared" si="21"/>
        <v>0.15752763182498011</v>
      </c>
      <c r="AD17" s="49">
        <f t="shared" si="21"/>
        <v>0.21191903996247241</v>
      </c>
      <c r="AE17" s="177">
        <f t="shared" ref="AE17" si="22">-AE7/AE6</f>
        <v>0.39710287947471384</v>
      </c>
      <c r="AF17" s="69">
        <f>(AE17-AA17)*100</f>
        <v>32.096683787088779</v>
      </c>
      <c r="AH17" s="49">
        <f t="shared" ref="AH17:AP17" si="23">-AH7/AH6</f>
        <v>0.21402148982366256</v>
      </c>
      <c r="AI17" s="49">
        <f t="shared" si="23"/>
        <v>-0.24248874504329476</v>
      </c>
      <c r="AJ17" s="49">
        <f t="shared" si="23"/>
        <v>0.11728395061728394</v>
      </c>
      <c r="AK17" s="49">
        <f t="shared" si="23"/>
        <v>-1.6901408450704224E-2</v>
      </c>
      <c r="AL17" s="49">
        <f t="shared" si="23"/>
        <v>1.4136182493318231E-2</v>
      </c>
      <c r="AM17" s="49">
        <f t="shared" si="23"/>
        <v>-0.10417264403850857</v>
      </c>
      <c r="AN17" s="49">
        <f t="shared" si="23"/>
        <v>0.10187110187110188</v>
      </c>
      <c r="AO17" s="49">
        <f t="shared" si="23"/>
        <v>-0.109375</v>
      </c>
      <c r="AP17" s="49">
        <f t="shared" si="23"/>
        <v>9.1463414634146339E-2</v>
      </c>
      <c r="AQ17" s="49">
        <f>-AQ7/AQ6</f>
        <v>-0.15853658536585366</v>
      </c>
      <c r="AR17" s="49">
        <f>-AR7/AR6</f>
        <v>8.11965811965812E-2</v>
      </c>
      <c r="AS17" s="49">
        <f>-AS7/AS6</f>
        <v>0.1348314606741573</v>
      </c>
      <c r="AT17" s="49">
        <f>-AT7/AT6</f>
        <v>0.18888888888888888</v>
      </c>
      <c r="AU17" s="49">
        <f>-AU7/AU6</f>
        <v>3.8674033149171269E-2</v>
      </c>
      <c r="AV17" s="49">
        <f t="shared" ref="AV17:BC17" si="24">-AV7/AV6</f>
        <v>8.8609439369352894E-2</v>
      </c>
      <c r="AW17" s="49">
        <f t="shared" si="24"/>
        <v>0.14755220349456769</v>
      </c>
      <c r="AX17" s="49">
        <f t="shared" si="24"/>
        <v>5.7668310919340611E-2</v>
      </c>
      <c r="AY17" s="49">
        <f t="shared" si="24"/>
        <v>9.2675062157553362E-2</v>
      </c>
      <c r="AZ17" s="49">
        <f t="shared" si="24"/>
        <v>7.6136041603826046E-2</v>
      </c>
      <c r="BA17" s="49">
        <f t="shared" si="24"/>
        <v>0.1268223701130938</v>
      </c>
      <c r="BB17" s="49">
        <f t="shared" si="24"/>
        <v>0.25088011771584301</v>
      </c>
      <c r="BC17" s="49">
        <f t="shared" si="24"/>
        <v>0.33661164593501741</v>
      </c>
      <c r="BD17" s="50">
        <f t="shared" ref="BD17" si="25">-BD7/BD6</f>
        <v>0.39710287947471384</v>
      </c>
    </row>
    <row r="18" spans="4:56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26">-(H9+H10+H8)/H6</f>
        <v>0.46636431572339704</v>
      </c>
      <c r="I18" s="49">
        <f t="shared" si="26"/>
        <v>0.46786073656535432</v>
      </c>
      <c r="J18" s="49">
        <f t="shared" si="26"/>
        <v>0.52342971086739787</v>
      </c>
      <c r="K18" s="49">
        <f t="shared" si="26"/>
        <v>0.59259259259259256</v>
      </c>
      <c r="L18" s="49">
        <f t="shared" si="26"/>
        <v>0.26804123711340205</v>
      </c>
      <c r="M18" s="49">
        <f t="shared" si="26"/>
        <v>0.38656394435792912</v>
      </c>
      <c r="N18" s="49">
        <f t="shared" si="26"/>
        <v>0.50936599423631124</v>
      </c>
      <c r="O18" s="49">
        <f t="shared" si="26"/>
        <v>0.34927234927234929</v>
      </c>
      <c r="P18" s="49">
        <f t="shared" si="26"/>
        <v>0.42198100407055633</v>
      </c>
      <c r="Q18" s="49">
        <f t="shared" si="26"/>
        <v>0.462819089900111</v>
      </c>
      <c r="R18" s="49">
        <f t="shared" si="26"/>
        <v>0.66009389671361507</v>
      </c>
      <c r="S18" s="49">
        <f t="shared" si="26"/>
        <v>0.47863247863247865</v>
      </c>
      <c r="T18" s="49">
        <f t="shared" si="26"/>
        <v>0.470873786407767</v>
      </c>
      <c r="U18" s="49">
        <f t="shared" si="26"/>
        <v>0.47972972972972971</v>
      </c>
      <c r="V18" s="49">
        <f t="shared" ref="V18:AD18" si="27">-(V9+V10+V8)/V6</f>
        <v>0.58344113842173351</v>
      </c>
      <c r="W18" s="49">
        <f t="shared" si="27"/>
        <v>1.2218987685184179</v>
      </c>
      <c r="X18" s="49">
        <f t="shared" si="27"/>
        <v>1.0427380024010835</v>
      </c>
      <c r="Y18" s="49">
        <f t="shared" si="27"/>
        <v>1.011657908042134</v>
      </c>
      <c r="Z18" s="49">
        <f t="shared" si="27"/>
        <v>1.2148203576042236</v>
      </c>
      <c r="AA18" s="49">
        <f t="shared" si="27"/>
        <v>0.57688563131587767</v>
      </c>
      <c r="AB18" s="49">
        <f t="shared" si="27"/>
        <v>1.0007576373126099</v>
      </c>
      <c r="AC18" s="49">
        <f t="shared" si="27"/>
        <v>0.93559926074752475</v>
      </c>
      <c r="AD18" s="49">
        <f t="shared" si="27"/>
        <v>0.81943238534701124</v>
      </c>
      <c r="AE18" s="177">
        <f t="shared" ref="AE18" si="28">-(AE9+AE10+AE8)/AE6</f>
        <v>0.31941157715014229</v>
      </c>
      <c r="AF18" s="69">
        <f>(AE18-AA18)*100</f>
        <v>-25.747405416573539</v>
      </c>
      <c r="AH18" s="49">
        <f t="shared" ref="AH18:AP18" si="29">-(AH9+AH10+AH8)/AH6</f>
        <v>0.47171062420453136</v>
      </c>
      <c r="AI18" s="49">
        <f t="shared" si="29"/>
        <v>0.68579145591268842</v>
      </c>
      <c r="AJ18" s="49">
        <f t="shared" si="29"/>
        <v>0.59259259259259256</v>
      </c>
      <c r="AK18" s="49">
        <f t="shared" si="29"/>
        <v>-2.8169014084507043E-2</v>
      </c>
      <c r="AL18" s="49">
        <f t="shared" si="29"/>
        <v>0.61402435148704548</v>
      </c>
      <c r="AM18" s="49">
        <f t="shared" si="29"/>
        <v>0.8664407857402191</v>
      </c>
      <c r="AN18" s="49">
        <f t="shared" si="29"/>
        <v>0.34927234927234929</v>
      </c>
      <c r="AO18" s="49">
        <f t="shared" si="29"/>
        <v>0.55859375</v>
      </c>
      <c r="AP18" s="49">
        <f t="shared" si="29"/>
        <v>0.64634146341463417</v>
      </c>
      <c r="AQ18" s="49">
        <f>-(AQ9+AQ10+AQ8)/AQ6</f>
        <v>1.7439024390243902</v>
      </c>
      <c r="AR18" s="49">
        <f>-(AR9+AR10+AR8)/AR6</f>
        <v>0.47863247863247865</v>
      </c>
      <c r="AS18" s="49">
        <f>-(AS9+AS10+AS8)/AS6</f>
        <v>0.4606741573033708</v>
      </c>
      <c r="AT18" s="49">
        <f>-(AT9+AT10+AT8)/AT6</f>
        <v>0.5</v>
      </c>
      <c r="AU18" s="49">
        <f>-(AU9+AU10+AU8)/AU6</f>
        <v>0.92265193370165743</v>
      </c>
      <c r="AV18" s="49">
        <f t="shared" ref="AV18:BC18" si="30">-(AV9+AV10+AV8)/AV6</f>
        <v>1.2218987685184179</v>
      </c>
      <c r="AW18" s="49">
        <f t="shared" si="30"/>
        <v>0.89405393416120449</v>
      </c>
      <c r="AX18" s="49">
        <f t="shared" si="30"/>
        <v>0.96828608443219555</v>
      </c>
      <c r="AY18" s="49">
        <f t="shared" si="30"/>
        <v>1.6025062032331858</v>
      </c>
      <c r="AZ18" s="49">
        <f t="shared" si="30"/>
        <v>0.57688563131587767</v>
      </c>
      <c r="BA18" s="49">
        <f t="shared" si="30"/>
        <v>1.4186779258202076</v>
      </c>
      <c r="BB18" s="49">
        <f t="shared" si="30"/>
        <v>0.82672546599493213</v>
      </c>
      <c r="BC18" s="49">
        <f t="shared" si="30"/>
        <v>0.5531191767468232</v>
      </c>
      <c r="BD18" s="50">
        <f t="shared" ref="BD18" si="31">-(BD9+BD10+BD8)/BD6</f>
        <v>0.31941157715014229</v>
      </c>
    </row>
    <row r="19" spans="4:56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32">-(H7+H9+H10+H8)/H6</f>
        <v>0.76975401576572067</v>
      </c>
      <c r="I19" s="51">
        <f t="shared" si="32"/>
        <v>0.74623645680244821</v>
      </c>
      <c r="J19" s="51">
        <f t="shared" si="32"/>
        <v>0.66899302093718849</v>
      </c>
      <c r="K19" s="51">
        <f t="shared" si="32"/>
        <v>0.70987654320987659</v>
      </c>
      <c r="L19" s="51">
        <f t="shared" si="32"/>
        <v>0.31516936671575846</v>
      </c>
      <c r="M19" s="51">
        <f t="shared" si="32"/>
        <v>0.42239009208261352</v>
      </c>
      <c r="N19" s="51">
        <f t="shared" si="32"/>
        <v>0.50936599423631124</v>
      </c>
      <c r="O19" s="51">
        <f t="shared" si="32"/>
        <v>0.45114345114345117</v>
      </c>
      <c r="P19" s="51">
        <f t="shared" si="32"/>
        <v>0.45047489823609227</v>
      </c>
      <c r="Q19" s="51">
        <f t="shared" si="32"/>
        <v>0.50277469478357384</v>
      </c>
      <c r="R19" s="51">
        <f t="shared" si="32"/>
        <v>0.66948356807511733</v>
      </c>
      <c r="S19" s="51">
        <f t="shared" si="32"/>
        <v>0.55982905982905984</v>
      </c>
      <c r="T19" s="51">
        <f t="shared" si="32"/>
        <v>0.57524271844660191</v>
      </c>
      <c r="U19" s="51">
        <f t="shared" si="32"/>
        <v>0.60979729729729726</v>
      </c>
      <c r="V19" s="51">
        <f t="shared" ref="V19:AD19" si="33">-(V7+V9+V10+V8)/V6</f>
        <v>0.69210866752910738</v>
      </c>
      <c r="W19" s="51">
        <f t="shared" si="33"/>
        <v>1.3105082078877708</v>
      </c>
      <c r="X19" s="51">
        <f t="shared" si="33"/>
        <v>1.1635585052708013</v>
      </c>
      <c r="Y19" s="51">
        <f t="shared" si="33"/>
        <v>1.1061154086099845</v>
      </c>
      <c r="Z19" s="51">
        <f t="shared" si="33"/>
        <v>1.308664968947248</v>
      </c>
      <c r="AA19" s="51">
        <f t="shared" si="33"/>
        <v>0.6530216729197037</v>
      </c>
      <c r="AB19" s="51">
        <f t="shared" si="33"/>
        <v>1.1024160267474805</v>
      </c>
      <c r="AC19" s="51">
        <f t="shared" si="33"/>
        <v>1.0931268925725051</v>
      </c>
      <c r="AD19" s="51">
        <f t="shared" si="33"/>
        <v>1.0313514253094838</v>
      </c>
      <c r="AE19" s="178">
        <f t="shared" ref="AE19" si="34">-(AE7+AE9+AE10+AE8)/AE6</f>
        <v>0.71651445662485613</v>
      </c>
      <c r="AF19" s="83">
        <f>(AE19-AA19)*100</f>
        <v>6.3492783705152434</v>
      </c>
      <c r="AH19" s="51">
        <f t="shared" ref="AH19:AT19" si="35">-(AH7+AH9+AH10+AH8)/AH6</f>
        <v>0.6857321140281939</v>
      </c>
      <c r="AI19" s="51">
        <f t="shared" si="35"/>
        <v>0.44330271086939366</v>
      </c>
      <c r="AJ19" s="51">
        <f t="shared" si="35"/>
        <v>0.70987654320987659</v>
      </c>
      <c r="AK19" s="51">
        <f t="shared" si="35"/>
        <v>-4.507042253521127E-2</v>
      </c>
      <c r="AL19" s="51">
        <f t="shared" si="35"/>
        <v>0.62816053398036376</v>
      </c>
      <c r="AM19" s="51">
        <f t="shared" si="35"/>
        <v>0.76226814170171053</v>
      </c>
      <c r="AN19" s="51">
        <f t="shared" si="35"/>
        <v>0.45114345114345117</v>
      </c>
      <c r="AO19" s="51">
        <f t="shared" si="35"/>
        <v>0.44921875</v>
      </c>
      <c r="AP19" s="51">
        <f t="shared" si="35"/>
        <v>0.73780487804878048</v>
      </c>
      <c r="AQ19" s="51">
        <f t="shared" si="35"/>
        <v>1.5853658536585367</v>
      </c>
      <c r="AR19" s="51">
        <f t="shared" si="35"/>
        <v>0.55982905982905984</v>
      </c>
      <c r="AS19" s="51">
        <f t="shared" si="35"/>
        <v>0.5955056179775281</v>
      </c>
      <c r="AT19" s="51">
        <f t="shared" si="35"/>
        <v>0.68888888888888888</v>
      </c>
      <c r="AU19" s="51">
        <f t="shared" ref="AU19:BC19" si="36">-(AU7+AU9+AU10+AU8)/AU6</f>
        <v>0.96132596685082872</v>
      </c>
      <c r="AV19" s="51">
        <f t="shared" si="36"/>
        <v>1.3105082078877708</v>
      </c>
      <c r="AW19" s="51">
        <f t="shared" si="36"/>
        <v>1.0416061376557721</v>
      </c>
      <c r="AX19" s="51">
        <f t="shared" si="36"/>
        <v>1.025954395351536</v>
      </c>
      <c r="AY19" s="51">
        <f t="shared" si="36"/>
        <v>1.6951812653907392</v>
      </c>
      <c r="AZ19" s="51">
        <f t="shared" si="36"/>
        <v>0.6530216729197037</v>
      </c>
      <c r="BA19" s="51">
        <f t="shared" si="36"/>
        <v>1.5455002959333015</v>
      </c>
      <c r="BB19" s="51">
        <f t="shared" si="36"/>
        <v>1.0776055837107752</v>
      </c>
      <c r="BC19" s="51">
        <f t="shared" si="36"/>
        <v>0.88973082268184056</v>
      </c>
      <c r="BD19" s="52">
        <f t="shared" ref="BD19" si="37">-(BD7+BD9+BD10+BD8)/BD6</f>
        <v>0.71651445662485613</v>
      </c>
    </row>
    <row r="20" spans="4:56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4"/>
      <c r="AG20" s="81"/>
    </row>
    <row r="21" spans="4:56" s="10" customFormat="1" x14ac:dyDescent="0.25">
      <c r="AF21" s="90"/>
      <c r="AG21" s="13"/>
    </row>
    <row r="22" spans="4:56" x14ac:dyDescent="0.2"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1:R11 S11:AE11" formulaRange="1"/>
    <ignoredError sqref="AJ5:AN10 AR5:AR11 AV5:AV11 AZ5:AZ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R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140625" style="165" bestFit="1" customWidth="1"/>
    <col min="5" max="5" width="13.28515625" style="165" customWidth="1"/>
    <col min="6" max="7" width="13.28515625" style="165" hidden="1" customWidth="1" outlineLevel="1"/>
    <col min="8" max="8" width="13.28515625" style="165" hidden="1" customWidth="1" outlineLevel="1" collapsed="1"/>
    <col min="9" max="9" width="13.28515625" style="165" customWidth="1" collapsed="1"/>
    <col min="10" max="10" width="13.28515625" style="165" hidden="1" customWidth="1" outlineLevel="1"/>
    <col min="11" max="12" width="13.28515625" style="165" hidden="1" customWidth="1" outlineLevel="1" collapsed="1"/>
    <col min="13" max="13" width="13.28515625" style="165" customWidth="1" collapsed="1"/>
    <col min="14" max="14" width="13.28515625" style="165" customWidth="1"/>
    <col min="15" max="16" width="13.28515625" style="165" hidden="1" customWidth="1" outlineLevel="1"/>
    <col min="17" max="17" width="13.28515625" style="165" customWidth="1" collapsed="1"/>
    <col min="18" max="18" width="13.28515625" style="165" customWidth="1"/>
    <col min="19" max="16384" width="11.42578125" style="165"/>
  </cols>
  <sheetData>
    <row r="1" spans="1:18" ht="16.5" customHeight="1" x14ac:dyDescent="0.2"/>
    <row r="2" spans="1:18" ht="18.75" customHeight="1" thickBot="1" x14ac:dyDescent="0.25">
      <c r="B2" s="11" t="s">
        <v>32</v>
      </c>
      <c r="D2" s="14" t="s">
        <v>204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6.5" customHeight="1" x14ac:dyDescent="0.2"/>
    <row r="4" spans="1:18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188</v>
      </c>
      <c r="K4" s="35" t="s">
        <v>212</v>
      </c>
      <c r="L4" s="35" t="s">
        <v>216</v>
      </c>
      <c r="M4" s="35" t="s">
        <v>218</v>
      </c>
      <c r="N4" s="35" t="s">
        <v>220</v>
      </c>
      <c r="O4" s="35" t="s">
        <v>223</v>
      </c>
      <c r="P4" s="35" t="s">
        <v>226</v>
      </c>
      <c r="Q4" s="35" t="s">
        <v>228</v>
      </c>
      <c r="R4" s="36" t="s">
        <v>230</v>
      </c>
    </row>
    <row r="5" spans="1:18" ht="15" customHeight="1" x14ac:dyDescent="0.25">
      <c r="A5" s="10"/>
      <c r="B5" s="10"/>
      <c r="C5" s="10"/>
      <c r="D5" s="33" t="s">
        <v>205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7">
        <v>56169.126477491765</v>
      </c>
      <c r="M5" s="37">
        <v>82461.269427388281</v>
      </c>
      <c r="N5" s="37">
        <v>28571.959755838958</v>
      </c>
      <c r="O5" s="37">
        <v>58190.277548368329</v>
      </c>
      <c r="P5" s="37">
        <v>79264.716806712473</v>
      </c>
      <c r="Q5" s="37">
        <v>109287.12329831011</v>
      </c>
      <c r="R5" s="38">
        <f>'P&amp;L - IFRS 4'!AE16</f>
        <v>33503.23813644769</v>
      </c>
    </row>
    <row r="6" spans="1:18" ht="15" customHeight="1" x14ac:dyDescent="0.25">
      <c r="A6" s="10"/>
      <c r="B6" s="10"/>
      <c r="C6" s="10"/>
      <c r="D6" s="39" t="s">
        <v>222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0">
        <v>5052</v>
      </c>
      <c r="L6" s="40">
        <v>6286.7215527145854</v>
      </c>
      <c r="M6" s="40">
        <v>11751.796001953069</v>
      </c>
      <c r="N6" s="40">
        <v>984.84738402897233</v>
      </c>
      <c r="O6" s="40">
        <v>3434.6390411582584</v>
      </c>
      <c r="P6" s="40">
        <v>5786.6271914628423</v>
      </c>
      <c r="Q6" s="40">
        <v>11897.206873810746</v>
      </c>
      <c r="R6" s="41">
        <v>1254.513094280426</v>
      </c>
    </row>
    <row r="7" spans="1:18" ht="15" customHeight="1" x14ac:dyDescent="0.25">
      <c r="A7" s="10"/>
      <c r="B7" s="10"/>
      <c r="C7" s="10"/>
      <c r="D7" s="39" t="s">
        <v>207</v>
      </c>
      <c r="E7" s="56" t="s">
        <v>190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0">
        <v>-2328</v>
      </c>
      <c r="L7" s="40">
        <v>-2470.0103799999997</v>
      </c>
      <c r="M7" s="40">
        <v>-3242.4817500000004</v>
      </c>
      <c r="N7" s="40">
        <v>-791.19186000000002</v>
      </c>
      <c r="O7" s="40">
        <v>-1427.8747100000003</v>
      </c>
      <c r="P7" s="40">
        <v>-2289.3973699999997</v>
      </c>
      <c r="Q7" s="40">
        <v>-2547.6858299999999</v>
      </c>
      <c r="R7" s="41">
        <v>-2065.56367</v>
      </c>
    </row>
    <row r="8" spans="1:18" ht="15" customHeight="1" x14ac:dyDescent="0.25">
      <c r="A8" s="10"/>
      <c r="B8" s="10"/>
      <c r="C8" s="10"/>
      <c r="D8" s="39" t="s">
        <v>211</v>
      </c>
      <c r="E8" s="56" t="s">
        <v>190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0">
        <v>-2</v>
      </c>
      <c r="L8" s="40">
        <v>-30.016490861865488</v>
      </c>
      <c r="M8" s="40">
        <v>-3.1507008618653636</v>
      </c>
      <c r="N8" s="40">
        <v>3.8774199999999839</v>
      </c>
      <c r="O8" s="40">
        <v>-7.0870800000000163</v>
      </c>
      <c r="P8" s="40">
        <v>-37.880070000000003</v>
      </c>
      <c r="Q8" s="40">
        <v>-23.183849999999978</v>
      </c>
      <c r="R8" s="41">
        <v>13.511099999999976</v>
      </c>
    </row>
    <row r="9" spans="1:18" ht="15" customHeight="1" x14ac:dyDescent="0.25">
      <c r="A9" s="10"/>
      <c r="B9" s="10"/>
      <c r="C9" s="10"/>
      <c r="D9" s="39" t="s">
        <v>208</v>
      </c>
      <c r="E9" s="56" t="s">
        <v>190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0">
        <v>-133</v>
      </c>
      <c r="L9" s="40">
        <v>595.22306000000049</v>
      </c>
      <c r="M9" s="40">
        <v>1230.7720700000004</v>
      </c>
      <c r="N9" s="40">
        <v>613.45604000000003</v>
      </c>
      <c r="O9" s="40">
        <v>1281.6077600000001</v>
      </c>
      <c r="P9" s="40">
        <v>1165.0309499999998</v>
      </c>
      <c r="Q9" s="40">
        <v>1215.6825999999996</v>
      </c>
      <c r="R9" s="41">
        <v>-20.984880000000004</v>
      </c>
    </row>
    <row r="10" spans="1:18" ht="15" customHeight="1" x14ac:dyDescent="0.25">
      <c r="A10" s="10"/>
      <c r="B10" s="10"/>
      <c r="C10" s="10"/>
      <c r="D10" s="39" t="s">
        <v>209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0">
        <v>-4313</v>
      </c>
      <c r="L10" s="40">
        <v>-6526.7466493054526</v>
      </c>
      <c r="M10" s="40">
        <v>-8682.4643325820743</v>
      </c>
      <c r="N10" s="40">
        <v>-1682.2860471052079</v>
      </c>
      <c r="O10" s="40">
        <v>-3074.2240170916793</v>
      </c>
      <c r="P10" s="40">
        <v>-4181.6326292717231</v>
      </c>
      <c r="Q10" s="40">
        <v>-4998.2947376566808</v>
      </c>
      <c r="R10" s="41">
        <v>-1851.0002343335052</v>
      </c>
    </row>
    <row r="11" spans="1:18" ht="15" customHeight="1" thickBot="1" x14ac:dyDescent="0.3">
      <c r="A11" s="10"/>
      <c r="B11" s="10"/>
      <c r="C11" s="10"/>
      <c r="D11" s="39" t="s">
        <v>210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0">
        <v>-57</v>
      </c>
      <c r="L11" s="40">
        <v>-147.72429084824898</v>
      </c>
      <c r="M11" s="40">
        <v>-205.46126853963244</v>
      </c>
      <c r="N11" s="40">
        <v>-41.370753986342109</v>
      </c>
      <c r="O11" s="40">
        <v>-259.55940600037934</v>
      </c>
      <c r="P11" s="40">
        <v>-443.47291178175959</v>
      </c>
      <c r="Q11" s="40">
        <v>-695.6066466950499</v>
      </c>
      <c r="R11" s="41">
        <v>-113.49302305893821</v>
      </c>
    </row>
    <row r="12" spans="1:18" ht="15" customHeight="1" thickBot="1" x14ac:dyDescent="0.3">
      <c r="A12" s="10"/>
      <c r="B12" s="10"/>
      <c r="C12" s="10"/>
      <c r="D12" s="42" t="s">
        <v>206</v>
      </c>
      <c r="E12" s="43">
        <f t="shared" ref="E12:L12" si="0">SUM(E5:E11)</f>
        <v>83560</v>
      </c>
      <c r="F12" s="43">
        <f t="shared" si="0"/>
        <v>-7058</v>
      </c>
      <c r="G12" s="43">
        <f t="shared" si="0"/>
        <v>-19884</v>
      </c>
      <c r="H12" s="43">
        <f t="shared" si="0"/>
        <v>-17044</v>
      </c>
      <c r="I12" s="43">
        <f t="shared" si="0"/>
        <v>-6547</v>
      </c>
      <c r="J12" s="43">
        <f t="shared" si="0"/>
        <v>13690.245320000178</v>
      </c>
      <c r="K12" s="43">
        <f t="shared" si="0"/>
        <v>34285.063529999999</v>
      </c>
      <c r="L12" s="43">
        <f t="shared" si="0"/>
        <v>53876.573279190787</v>
      </c>
      <c r="M12" s="43">
        <f t="shared" ref="M12" si="1">SUM(M5:M11)</f>
        <v>83310.279447357781</v>
      </c>
      <c r="N12" s="43">
        <f t="shared" ref="N12:Q12" si="2">SUM(N5:N11)</f>
        <v>27659.291938776383</v>
      </c>
      <c r="O12" s="43">
        <f t="shared" si="2"/>
        <v>58137.779136434532</v>
      </c>
      <c r="P12" s="43">
        <f t="shared" si="2"/>
        <v>79263.991967121823</v>
      </c>
      <c r="Q12" s="43">
        <f t="shared" si="2"/>
        <v>114135.24170776912</v>
      </c>
      <c r="R12" s="44">
        <f t="shared" ref="R12" si="3">SUM(R5:R11)</f>
        <v>30720.220523335673</v>
      </c>
    </row>
    <row r="13" spans="1:18" ht="9" customHeight="1" x14ac:dyDescent="0.25">
      <c r="A13" s="10"/>
      <c r="B13" s="10"/>
      <c r="C13" s="10"/>
      <c r="D13" s="166"/>
      <c r="E13" s="40"/>
      <c r="F13" s="40"/>
      <c r="G13" s="40"/>
      <c r="H13" s="40"/>
      <c r="I13" s="40"/>
    </row>
    <row r="14" spans="1:18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 t="s">
        <v>46</v>
      </c>
    </row>
    <row r="15" spans="1:18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4.25" x14ac:dyDescent="0.25">
      <c r="A16" s="10"/>
      <c r="B16" s="10"/>
      <c r="C16" s="10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7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185</v>
      </c>
      <c r="E2" s="14"/>
      <c r="F2" s="14"/>
      <c r="G2" s="14"/>
    </row>
    <row r="4" spans="2:7" ht="15.75" thickBot="1" x14ac:dyDescent="0.25">
      <c r="D4" s="100" t="s">
        <v>230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275725.66668999998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275517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SUM(E9:E12)</f>
        <v>-207986.92074229513</v>
      </c>
      <c r="F8" s="19"/>
      <c r="G8" s="108">
        <f>SUM(G9:G12)</f>
        <v>-200234</v>
      </c>
    </row>
    <row r="9" spans="2:7" x14ac:dyDescent="0.2">
      <c r="D9" s="19" t="s">
        <v>173</v>
      </c>
      <c r="E9" s="103">
        <v>-171506.05342999997</v>
      </c>
      <c r="F9" s="19"/>
      <c r="G9" s="105">
        <v>-166449</v>
      </c>
    </row>
    <row r="10" spans="2:7" x14ac:dyDescent="0.2">
      <c r="D10" s="19" t="s">
        <v>186</v>
      </c>
      <c r="E10" s="103">
        <v>-4087.7192800000275</v>
      </c>
      <c r="F10" s="19"/>
      <c r="G10" s="105">
        <v>-1441</v>
      </c>
    </row>
    <row r="11" spans="2:7" x14ac:dyDescent="0.2">
      <c r="D11" s="19" t="s">
        <v>174</v>
      </c>
      <c r="E11" s="103">
        <v>-32393.148032295136</v>
      </c>
      <c r="F11" s="19"/>
      <c r="G11" s="105">
        <v>-32343</v>
      </c>
    </row>
    <row r="12" spans="2:7" ht="13.5" thickBot="1" x14ac:dyDescent="0.25">
      <c r="D12" s="19" t="s">
        <v>175</v>
      </c>
      <c r="E12" s="103">
        <v>0</v>
      </c>
      <c r="F12" s="19"/>
      <c r="G12" s="105">
        <v>-1</v>
      </c>
    </row>
    <row r="13" spans="2:7" ht="15" customHeight="1" thickBot="1" x14ac:dyDescent="0.25">
      <c r="D13" s="109" t="s">
        <v>176</v>
      </c>
      <c r="E13" s="110">
        <f>-E8/E5</f>
        <v>0.75432557019124402</v>
      </c>
      <c r="F13" s="111"/>
      <c r="G13" s="112">
        <f>-ROUND(G8/G6,3)</f>
        <v>0.72699999999999998</v>
      </c>
    </row>
    <row r="14" spans="2:7" x14ac:dyDescent="0.2">
      <c r="D14" s="19"/>
      <c r="E14" s="19"/>
      <c r="F14" s="19"/>
      <c r="G14" s="113"/>
    </row>
    <row r="15" spans="2:7" ht="15" customHeight="1" x14ac:dyDescent="0.2">
      <c r="D15" s="106" t="s">
        <v>177</v>
      </c>
      <c r="E15" s="107">
        <f>+SUM(E16:E22)</f>
        <v>-46083.728509624714</v>
      </c>
      <c r="F15" s="19"/>
      <c r="G15" s="108">
        <f>+SUM(G16:G22)</f>
        <v>-52356</v>
      </c>
    </row>
    <row r="16" spans="2:7" x14ac:dyDescent="0.2">
      <c r="D16" s="19" t="s">
        <v>178</v>
      </c>
      <c r="E16" s="103">
        <v>-44381.009002443847</v>
      </c>
      <c r="F16" s="19"/>
      <c r="G16" s="114">
        <v>-44029</v>
      </c>
    </row>
    <row r="17" spans="4:7" x14ac:dyDescent="0.2">
      <c r="D17" s="19" t="s">
        <v>179</v>
      </c>
      <c r="E17" s="103">
        <v>-6517.8660771808673</v>
      </c>
      <c r="F17" s="19"/>
      <c r="G17" s="114">
        <v>-6543</v>
      </c>
    </row>
    <row r="18" spans="4:7" x14ac:dyDescent="0.2">
      <c r="D18" s="115" t="s">
        <v>180</v>
      </c>
      <c r="E18" s="20">
        <v>0</v>
      </c>
      <c r="F18" s="19"/>
      <c r="G18" s="114">
        <v>-381</v>
      </c>
    </row>
    <row r="19" spans="4:7" x14ac:dyDescent="0.2">
      <c r="D19" s="115" t="s">
        <v>181</v>
      </c>
      <c r="E19" s="20">
        <v>-1668.0249000000001</v>
      </c>
      <c r="F19" s="19"/>
      <c r="G19" s="114">
        <v>-1437</v>
      </c>
    </row>
    <row r="20" spans="4:7" x14ac:dyDescent="0.2">
      <c r="D20" s="115" t="s">
        <v>182</v>
      </c>
      <c r="E20" s="20">
        <v>34.267249999999997</v>
      </c>
      <c r="F20" s="19"/>
      <c r="G20" s="114">
        <v>34</v>
      </c>
    </row>
    <row r="21" spans="4:7" x14ac:dyDescent="0.2">
      <c r="D21" s="115" t="s">
        <v>187</v>
      </c>
      <c r="E21" s="20">
        <v>6446.7833100000016</v>
      </c>
      <c r="F21" s="19"/>
      <c r="G21" s="114">
        <v>0</v>
      </c>
    </row>
    <row r="22" spans="4:7" ht="13.5" thickBot="1" x14ac:dyDescent="0.25">
      <c r="D22" s="115" t="s">
        <v>183</v>
      </c>
      <c r="E22" s="20">
        <v>2.1209099999999999</v>
      </c>
      <c r="F22" s="19"/>
      <c r="G22" s="114">
        <v>0</v>
      </c>
    </row>
    <row r="23" spans="4:7" ht="15" customHeight="1" thickBot="1" x14ac:dyDescent="0.25">
      <c r="D23" s="110" t="s">
        <v>184</v>
      </c>
      <c r="E23" s="110">
        <f>-E15/E5</f>
        <v>0.16713615769922838</v>
      </c>
      <c r="F23" s="111"/>
      <c r="G23" s="112">
        <f>-ROUND(G15/G6, 2)</f>
        <v>0.19</v>
      </c>
    </row>
    <row r="24" spans="4:7" x14ac:dyDescent="0.2">
      <c r="D24" s="19"/>
      <c r="E24" s="19"/>
      <c r="F24" s="19"/>
      <c r="G24" s="113"/>
    </row>
    <row r="25" spans="4:7" ht="15" customHeight="1" x14ac:dyDescent="0.2">
      <c r="D25" s="116" t="s">
        <v>55</v>
      </c>
      <c r="E25" s="117">
        <f>E23+E13</f>
        <v>0.92146172789047243</v>
      </c>
      <c r="F25" s="111"/>
      <c r="G25" s="118">
        <f>G23+G13</f>
        <v>0.91700000000000004</v>
      </c>
    </row>
    <row r="26" spans="4:7" ht="9" customHeight="1" x14ac:dyDescent="0.2">
      <c r="D26" s="33"/>
      <c r="E26" s="63"/>
      <c r="F26" s="63"/>
      <c r="G26" s="63"/>
    </row>
    <row r="27" spans="4:7" x14ac:dyDescent="0.2">
      <c r="G27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95A9D21C-52ED-448D-AC93-6442D53310CC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N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2" width="13.5703125" style="73" customWidth="1"/>
    <col min="13" max="13" width="9.7109375" style="73" customWidth="1"/>
    <col min="14" max="16384" width="10.85546875" style="73"/>
  </cols>
  <sheetData>
    <row r="1" spans="2:14" ht="16.5" customHeight="1" x14ac:dyDescent="0.2"/>
    <row r="2" spans="2:14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2:14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20</v>
      </c>
      <c r="K4" s="119" t="s">
        <v>218</v>
      </c>
      <c r="L4" s="119" t="s">
        <v>228</v>
      </c>
      <c r="M4" s="180" t="s">
        <v>230</v>
      </c>
      <c r="N4" s="181"/>
    </row>
    <row r="5" spans="2:14" x14ac:dyDescent="0.2">
      <c r="D5" s="120" t="s">
        <v>122</v>
      </c>
      <c r="E5" s="121">
        <f t="shared" ref="E5:M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71">
        <f t="shared" si="0"/>
        <v>850448.72650000011</v>
      </c>
      <c r="L5" s="171">
        <f t="shared" ref="L5" si="1">L6+L13</f>
        <v>992004.90271000005</v>
      </c>
      <c r="M5" s="122">
        <f t="shared" si="0"/>
        <v>1014324.2465999998</v>
      </c>
      <c r="N5" s="123">
        <f>M5/M$22</f>
        <v>0.83685465879034437</v>
      </c>
    </row>
    <row r="6" spans="2:14" x14ac:dyDescent="0.2">
      <c r="D6" s="124" t="s">
        <v>123</v>
      </c>
      <c r="E6" s="121">
        <f t="shared" ref="E6:I6" si="2">SUM(E7:E12)</f>
        <v>397566.68119000003</v>
      </c>
      <c r="F6" s="121">
        <f t="shared" si="2"/>
        <v>394655.81483999995</v>
      </c>
      <c r="G6" s="121">
        <f t="shared" si="2"/>
        <v>438763.14398999995</v>
      </c>
      <c r="H6" s="121">
        <f t="shared" si="2"/>
        <v>396345</v>
      </c>
      <c r="I6" s="121">
        <f t="shared" si="2"/>
        <v>356496</v>
      </c>
      <c r="J6" s="121">
        <f t="shared" ref="J6:K6" si="3">SUM(J7:J12)</f>
        <v>380665</v>
      </c>
      <c r="K6" s="171">
        <f t="shared" si="3"/>
        <v>361306.64552000002</v>
      </c>
      <c r="L6" s="171">
        <f t="shared" ref="L6" si="4">SUM(L7:L12)</f>
        <v>447980.72119000001</v>
      </c>
      <c r="M6" s="122">
        <f t="shared" ref="M6" si="5">SUM(M7:M12)</f>
        <v>460803.49788999988</v>
      </c>
      <c r="N6" s="123">
        <f t="shared" ref="N6:N21" si="6">M6/M$22</f>
        <v>0.38017976528584846</v>
      </c>
    </row>
    <row r="7" spans="2:14" x14ac:dyDescent="0.2">
      <c r="D7" s="125" t="s">
        <v>124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6">
        <v>146732.91387000002</v>
      </c>
      <c r="L7" s="126">
        <v>198625.70501999999</v>
      </c>
      <c r="M7" s="127">
        <v>211652.64667999995</v>
      </c>
      <c r="N7" s="128">
        <f t="shared" si="6"/>
        <v>0.17462118648270189</v>
      </c>
    </row>
    <row r="8" spans="2:14" x14ac:dyDescent="0.2">
      <c r="D8" s="125" t="s">
        <v>125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6">
        <v>115032.27722999999</v>
      </c>
      <c r="L8" s="126">
        <v>126389.04607000001</v>
      </c>
      <c r="M8" s="127">
        <v>105399.50141</v>
      </c>
      <c r="N8" s="128">
        <f t="shared" si="6"/>
        <v>8.695844951434091E-2</v>
      </c>
    </row>
    <row r="9" spans="2:14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6">
        <v>14846.327369999999</v>
      </c>
      <c r="L9" s="126">
        <v>27717.970100000002</v>
      </c>
      <c r="M9" s="127">
        <v>7676.2663100000009</v>
      </c>
      <c r="N9" s="128">
        <f t="shared" si="6"/>
        <v>6.3332008922903603E-3</v>
      </c>
    </row>
    <row r="10" spans="2:14" x14ac:dyDescent="0.2">
      <c r="D10" s="125" t="s">
        <v>126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7">
        <v>0</v>
      </c>
      <c r="N10" s="128">
        <f t="shared" si="6"/>
        <v>0</v>
      </c>
    </row>
    <row r="11" spans="2:14" x14ac:dyDescent="0.2">
      <c r="D11" s="125" t="s">
        <v>127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9">
        <v>0</v>
      </c>
      <c r="L11" s="129">
        <v>0</v>
      </c>
      <c r="M11" s="127">
        <v>0</v>
      </c>
      <c r="N11" s="128">
        <f t="shared" si="6"/>
        <v>0</v>
      </c>
    </row>
    <row r="12" spans="2:14" x14ac:dyDescent="0.2">
      <c r="D12" s="125" t="s">
        <v>38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6">
        <v>84695.127049999996</v>
      </c>
      <c r="L12" s="126">
        <v>95248</v>
      </c>
      <c r="M12" s="127">
        <v>136075.08348999999</v>
      </c>
      <c r="N12" s="128">
        <f t="shared" si="6"/>
        <v>0.11226692839651535</v>
      </c>
    </row>
    <row r="13" spans="2:14" x14ac:dyDescent="0.2">
      <c r="D13" s="124" t="s">
        <v>128</v>
      </c>
      <c r="E13" s="121">
        <f t="shared" ref="E13:I13" si="7">SUM(E14:E17)</f>
        <v>299378.40934999997</v>
      </c>
      <c r="F13" s="121">
        <f t="shared" si="7"/>
        <v>326141.32063000003</v>
      </c>
      <c r="G13" s="121">
        <f t="shared" si="7"/>
        <v>362446.14160000003</v>
      </c>
      <c r="H13" s="121">
        <f t="shared" si="7"/>
        <v>325660</v>
      </c>
      <c r="I13" s="121">
        <f t="shared" si="7"/>
        <v>262282</v>
      </c>
      <c r="J13" s="121">
        <f t="shared" ref="J13:L13" si="8">SUM(J14:J17)</f>
        <v>379156</v>
      </c>
      <c r="K13" s="121">
        <f t="shared" si="8"/>
        <v>489142.08098000009</v>
      </c>
      <c r="L13" s="121">
        <f t="shared" si="8"/>
        <v>544024.18151999998</v>
      </c>
      <c r="M13" s="122">
        <f t="shared" ref="M13" si="9">SUM(M14:M17)</f>
        <v>553520.74870999996</v>
      </c>
      <c r="N13" s="123">
        <f t="shared" si="6"/>
        <v>0.45667489350449592</v>
      </c>
    </row>
    <row r="14" spans="2:14" x14ac:dyDescent="0.2">
      <c r="D14" s="125" t="s">
        <v>124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6">
        <v>181562.83704000007</v>
      </c>
      <c r="L14" s="126">
        <v>175072.26370000001</v>
      </c>
      <c r="M14" s="127">
        <v>174022.43036</v>
      </c>
      <c r="N14" s="128">
        <f t="shared" si="6"/>
        <v>0.14357487959983101</v>
      </c>
    </row>
    <row r="15" spans="2:14" x14ac:dyDescent="0.2">
      <c r="D15" s="125" t="s">
        <v>129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6">
        <v>191219.71519999998</v>
      </c>
      <c r="L15" s="126">
        <v>197745.61170000001</v>
      </c>
      <c r="M15" s="127">
        <v>203949.05043999996</v>
      </c>
      <c r="N15" s="128">
        <f t="shared" si="6"/>
        <v>0.16826543739704874</v>
      </c>
    </row>
    <row r="16" spans="2:14" x14ac:dyDescent="0.2">
      <c r="D16" s="125" t="s">
        <v>130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6">
        <v>16593.662710000001</v>
      </c>
      <c r="L16" s="126">
        <v>35455.272659999995</v>
      </c>
      <c r="M16" s="127">
        <v>35086.623879999999</v>
      </c>
      <c r="N16" s="128">
        <f t="shared" si="6"/>
        <v>2.8947749946454403E-2</v>
      </c>
    </row>
    <row r="17" spans="4:14" x14ac:dyDescent="0.2">
      <c r="D17" s="125" t="s">
        <v>131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6">
        <v>99765.866030000034</v>
      </c>
      <c r="L17" s="126">
        <v>135751.03345999998</v>
      </c>
      <c r="M17" s="127">
        <v>140462.64402999994</v>
      </c>
      <c r="N17" s="128">
        <f t="shared" si="6"/>
        <v>0.11588682656116171</v>
      </c>
    </row>
    <row r="18" spans="4:14" x14ac:dyDescent="0.2">
      <c r="D18" s="120" t="s">
        <v>132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1">
        <v>74945.192890000006</v>
      </c>
      <c r="L18" s="121">
        <v>83292</v>
      </c>
      <c r="M18" s="122">
        <v>80935.044980000006</v>
      </c>
      <c r="N18" s="123">
        <f t="shared" si="6"/>
        <v>6.6774376810918176E-2</v>
      </c>
    </row>
    <row r="19" spans="4:14" x14ac:dyDescent="0.2">
      <c r="D19" s="125" t="s">
        <v>133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6">
        <v>28764.759759999997</v>
      </c>
      <c r="L19" s="126">
        <v>32104.954679999999</v>
      </c>
      <c r="M19" s="127">
        <v>32458.434679999998</v>
      </c>
      <c r="N19" s="128">
        <f t="shared" si="6"/>
        <v>2.6779397584204494E-2</v>
      </c>
    </row>
    <row r="20" spans="4:14" x14ac:dyDescent="0.2">
      <c r="D20" s="120" t="s">
        <v>134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1">
        <v>57848.159070000002</v>
      </c>
      <c r="L20" s="121">
        <v>60066</v>
      </c>
      <c r="M20" s="122">
        <v>55421.103810000001</v>
      </c>
      <c r="N20" s="123">
        <f t="shared" si="6"/>
        <v>4.572444075369874E-2</v>
      </c>
    </row>
    <row r="21" spans="4:14" ht="13.5" thickBot="1" x14ac:dyDescent="0.25">
      <c r="D21" s="120" t="s">
        <v>135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1">
        <v>58456</v>
      </c>
      <c r="L21" s="121">
        <v>60943</v>
      </c>
      <c r="M21" s="122">
        <v>61387</v>
      </c>
      <c r="N21" s="123">
        <f t="shared" si="6"/>
        <v>5.0646523645038612E-2</v>
      </c>
    </row>
    <row r="22" spans="4:14" x14ac:dyDescent="0.2">
      <c r="D22" s="130" t="s">
        <v>136</v>
      </c>
      <c r="E22" s="131">
        <f t="shared" ref="E22:G22" si="10">E5+E18+E20+E21</f>
        <v>853166.09054</v>
      </c>
      <c r="F22" s="131">
        <f t="shared" si="10"/>
        <v>904155.13546999998</v>
      </c>
      <c r="G22" s="131">
        <f t="shared" si="10"/>
        <v>993011.79217000003</v>
      </c>
      <c r="H22" s="131">
        <f>H5+H18+H20+H21</f>
        <v>941425</v>
      </c>
      <c r="I22" s="131">
        <f t="shared" ref="I22:M22" si="11">I5+I18+I20+I21</f>
        <v>804340</v>
      </c>
      <c r="J22" s="131">
        <f t="shared" si="11"/>
        <v>935866</v>
      </c>
      <c r="K22" s="131">
        <f t="shared" si="11"/>
        <v>1041698.0784600002</v>
      </c>
      <c r="L22" s="131">
        <f t="shared" si="11"/>
        <v>1196305.9027100001</v>
      </c>
      <c r="M22" s="132">
        <f t="shared" si="11"/>
        <v>1212067.39539</v>
      </c>
      <c r="N22" s="133">
        <f>N5+N18+N20+N21</f>
        <v>0.99999999999999989</v>
      </c>
    </row>
    <row r="23" spans="4:14" ht="13.5" thickBot="1" x14ac:dyDescent="0.25">
      <c r="D23" s="134" t="s">
        <v>137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21">
        <v>16709</v>
      </c>
      <c r="L23" s="121">
        <v>16988</v>
      </c>
      <c r="M23" s="135">
        <v>20571</v>
      </c>
      <c r="N23" s="136" t="s">
        <v>7</v>
      </c>
    </row>
    <row r="24" spans="4:14" ht="13.5" thickBot="1" x14ac:dyDescent="0.25">
      <c r="D24" s="137" t="s">
        <v>1</v>
      </c>
      <c r="E24" s="138">
        <f t="shared" ref="E24:H24" si="12">E22+E23</f>
        <v>1019942.09054</v>
      </c>
      <c r="F24" s="138">
        <f t="shared" si="12"/>
        <v>1049092.1354700001</v>
      </c>
      <c r="G24" s="138">
        <f t="shared" si="12"/>
        <v>1155511.79217</v>
      </c>
      <c r="H24" s="138">
        <f t="shared" si="12"/>
        <v>1057213</v>
      </c>
      <c r="I24" s="138">
        <f>I22+I23</f>
        <v>856001</v>
      </c>
      <c r="J24" s="138">
        <f>J22+J23</f>
        <v>977612</v>
      </c>
      <c r="K24" s="138">
        <f>K22+K23</f>
        <v>1058407.0784600002</v>
      </c>
      <c r="L24" s="138">
        <f>L22+L23</f>
        <v>1213293.9027100001</v>
      </c>
      <c r="M24" s="139">
        <f>M22+M23</f>
        <v>1232638.39539</v>
      </c>
      <c r="N24" s="140" t="s">
        <v>7</v>
      </c>
    </row>
    <row r="25" spans="4:14" ht="9" customHeight="1" x14ac:dyDescent="0.2">
      <c r="D25" s="33"/>
      <c r="E25" s="63"/>
      <c r="F25" s="63"/>
      <c r="G25" s="63"/>
      <c r="H25" s="63"/>
      <c r="I25" s="63"/>
      <c r="J25" s="63"/>
      <c r="K25" s="63"/>
      <c r="L25" s="63"/>
      <c r="M25" s="121"/>
    </row>
    <row r="26" spans="4:14" x14ac:dyDescent="0.2">
      <c r="D26" s="19"/>
      <c r="E26" s="19"/>
      <c r="F26" s="19"/>
      <c r="G26" s="19"/>
      <c r="H26" s="19"/>
      <c r="I26" s="19"/>
      <c r="J26" s="19"/>
      <c r="K26" s="19"/>
      <c r="L26" s="19"/>
      <c r="M26" s="27"/>
      <c r="N26" s="27" t="s">
        <v>46</v>
      </c>
    </row>
    <row r="29" spans="4:14" ht="13.5" thickBot="1" x14ac:dyDescent="0.25">
      <c r="D29" s="141" t="s">
        <v>122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20</v>
      </c>
      <c r="K29" s="119" t="s">
        <v>218</v>
      </c>
      <c r="L29" s="119" t="s">
        <v>228</v>
      </c>
      <c r="M29" s="180" t="s">
        <v>230</v>
      </c>
      <c r="N29" s="181"/>
    </row>
    <row r="30" spans="4:14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6">
        <v>34651.843090000002</v>
      </c>
      <c r="L30" s="126">
        <v>42971.979189999998</v>
      </c>
      <c r="M30" s="127">
        <v>49318.448909999999</v>
      </c>
      <c r="N30" s="128">
        <f>M30/$M$36</f>
        <v>4.8621975739330602E-2</v>
      </c>
    </row>
    <row r="31" spans="4:14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6">
        <v>103056.8756</v>
      </c>
      <c r="L31" s="126">
        <v>115215</v>
      </c>
      <c r="M31" s="127">
        <v>160860.28223000001</v>
      </c>
      <c r="N31" s="128">
        <f t="shared" ref="N31:N35" si="13">M31/$M$36</f>
        <v>0.15858861973299099</v>
      </c>
    </row>
    <row r="32" spans="4:14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6">
        <v>393937.52914000012</v>
      </c>
      <c r="L32" s="126">
        <v>453048.91938999988</v>
      </c>
      <c r="M32" s="127">
        <v>456648.71320000011</v>
      </c>
      <c r="N32" s="128">
        <f t="shared" si="13"/>
        <v>0.45019993826498755</v>
      </c>
    </row>
    <row r="33" spans="4:14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6">
        <v>312988.36617000005</v>
      </c>
      <c r="L33" s="126">
        <v>374664.09803999995</v>
      </c>
      <c r="M33" s="127">
        <v>341614.67382000003</v>
      </c>
      <c r="N33" s="128">
        <f t="shared" si="13"/>
        <v>0.33679040500617757</v>
      </c>
    </row>
    <row r="34" spans="4:14" x14ac:dyDescent="0.2">
      <c r="D34" s="142" t="s">
        <v>138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6">
        <v>5814.1125000000011</v>
      </c>
      <c r="L34" s="126">
        <v>6104.673490000001</v>
      </c>
      <c r="M34" s="127">
        <v>5882.1284400000004</v>
      </c>
      <c r="N34" s="128">
        <f t="shared" si="13"/>
        <v>5.7990612565131982E-3</v>
      </c>
    </row>
    <row r="35" spans="4:14" ht="13.5" thickBot="1" x14ac:dyDescent="0.25">
      <c r="D35" s="143" t="s">
        <v>139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6">
        <v>0</v>
      </c>
      <c r="L35" s="126">
        <v>0</v>
      </c>
      <c r="M35" s="127">
        <v>0</v>
      </c>
      <c r="N35" s="128">
        <f t="shared" si="13"/>
        <v>0</v>
      </c>
    </row>
    <row r="36" spans="4:14" ht="13.5" thickBot="1" x14ac:dyDescent="0.25">
      <c r="D36" s="137" t="s">
        <v>1</v>
      </c>
      <c r="E36" s="138">
        <f>SUM(E30:E35)</f>
        <v>696945.04814000009</v>
      </c>
      <c r="F36" s="138">
        <f t="shared" ref="F36:H36" si="14">SUM(F30:F35)</f>
        <v>720797.29070000001</v>
      </c>
      <c r="G36" s="138">
        <f t="shared" si="14"/>
        <v>801209.17302999995</v>
      </c>
      <c r="H36" s="138">
        <f t="shared" si="14"/>
        <v>722005</v>
      </c>
      <c r="I36" s="138">
        <f t="shared" ref="I36:N36" si="15">SUM(I30:I35)</f>
        <v>618778</v>
      </c>
      <c r="J36" s="138">
        <f t="shared" si="15"/>
        <v>759821</v>
      </c>
      <c r="K36" s="138">
        <f t="shared" si="15"/>
        <v>850448.72650000022</v>
      </c>
      <c r="L36" s="138">
        <f t="shared" si="15"/>
        <v>992004.67010999972</v>
      </c>
      <c r="M36" s="144">
        <f t="shared" si="15"/>
        <v>1014324.2466000002</v>
      </c>
      <c r="N36" s="140">
        <f t="shared" si="15"/>
        <v>0.99999999999999989</v>
      </c>
    </row>
    <row r="37" spans="4:14" ht="9" customHeight="1" x14ac:dyDescent="0.2">
      <c r="D37" s="33"/>
      <c r="E37" s="63"/>
      <c r="F37" s="63"/>
      <c r="G37" s="63"/>
      <c r="H37" s="63"/>
      <c r="I37" s="63"/>
      <c r="J37" s="63"/>
      <c r="K37" s="63"/>
      <c r="L37" s="63"/>
      <c r="M37" s="121"/>
    </row>
    <row r="38" spans="4:14" x14ac:dyDescent="0.2">
      <c r="M38" s="27"/>
      <c r="N38" s="27" t="s">
        <v>46</v>
      </c>
    </row>
    <row r="41" spans="4:14" ht="13.5" thickBot="1" x14ac:dyDescent="0.25">
      <c r="D41" s="141" t="s">
        <v>132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20</v>
      </c>
      <c r="K41" s="119" t="s">
        <v>218</v>
      </c>
      <c r="L41" s="119" t="s">
        <v>228</v>
      </c>
      <c r="M41" s="180" t="s">
        <v>230</v>
      </c>
      <c r="N41" s="181"/>
    </row>
    <row r="42" spans="4:14" x14ac:dyDescent="0.2">
      <c r="D42" s="142" t="s">
        <v>140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6">
        <v>36574.724070000004</v>
      </c>
      <c r="L42" s="126">
        <v>46915.148939999999</v>
      </c>
      <c r="M42" s="127">
        <v>47840.148939999999</v>
      </c>
      <c r="N42" s="128">
        <f>M42/$M$53</f>
        <v>0.59109312846890816</v>
      </c>
    </row>
    <row r="43" spans="4:14" x14ac:dyDescent="0.2">
      <c r="D43" s="145" t="s">
        <v>133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6">
        <v>28764.759759999997</v>
      </c>
      <c r="L43" s="126">
        <v>32104.954679999999</v>
      </c>
      <c r="M43" s="127">
        <v>32458.434679999998</v>
      </c>
      <c r="N43" s="128">
        <f t="shared" ref="N43:N52" si="16">M43/$M$53</f>
        <v>0.401043017743684</v>
      </c>
    </row>
    <row r="44" spans="4:14" x14ac:dyDescent="0.2">
      <c r="D44" s="142" t="s">
        <v>141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6">
        <v>6517.3092100000013</v>
      </c>
      <c r="L44" s="126">
        <v>6476.1554400000005</v>
      </c>
      <c r="M44" s="127">
        <v>6722.8847400000004</v>
      </c>
      <c r="N44" s="128">
        <f t="shared" si="16"/>
        <v>8.3065188159978223E-2</v>
      </c>
    </row>
    <row r="45" spans="4:14" x14ac:dyDescent="0.2">
      <c r="D45" s="142" t="s">
        <v>142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6">
        <v>5147.0207399999999</v>
      </c>
      <c r="L45" s="126">
        <v>1668.3670500000001</v>
      </c>
      <c r="M45" s="127">
        <v>1521.348</v>
      </c>
      <c r="N45" s="128">
        <f t="shared" si="16"/>
        <v>1.8797147766779435E-2</v>
      </c>
    </row>
    <row r="46" spans="4:14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6">
        <v>4400.0479799999994</v>
      </c>
      <c r="L46" s="126">
        <v>4993.0921200000003</v>
      </c>
      <c r="M46" s="127">
        <v>5836.5504599999995</v>
      </c>
      <c r="N46" s="128">
        <f t="shared" si="16"/>
        <v>7.2114007738455943E-2</v>
      </c>
    </row>
    <row r="47" spans="4:14" x14ac:dyDescent="0.2">
      <c r="D47" s="142" t="s">
        <v>143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6">
        <v>5735.1244900000002</v>
      </c>
      <c r="L47" s="126">
        <v>4663.9693899999993</v>
      </c>
      <c r="M47" s="127">
        <v>4049.80215</v>
      </c>
      <c r="N47" s="128">
        <f t="shared" si="16"/>
        <v>5.0037683317538828E-2</v>
      </c>
    </row>
    <row r="48" spans="4:14" x14ac:dyDescent="0.2">
      <c r="D48" s="142" t="s">
        <v>144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9">
        <v>0</v>
      </c>
      <c r="L48" s="129">
        <v>786.91499999999996</v>
      </c>
      <c r="M48" s="127">
        <v>0</v>
      </c>
      <c r="N48" s="128">
        <f t="shared" si="16"/>
        <v>0</v>
      </c>
    </row>
    <row r="49" spans="4:14" x14ac:dyDescent="0.2">
      <c r="D49" s="142" t="s">
        <v>145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9">
        <v>5885.8508100000008</v>
      </c>
      <c r="L49" s="129">
        <v>10923.393390000003</v>
      </c>
      <c r="M49" s="127">
        <v>9586.7723100000003</v>
      </c>
      <c r="N49" s="128">
        <f t="shared" si="16"/>
        <v>0.11845020055736061</v>
      </c>
    </row>
    <row r="50" spans="4:14" x14ac:dyDescent="0.2">
      <c r="D50" s="142" t="s">
        <v>146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6">
        <v>8081.2697699999999</v>
      </c>
      <c r="L50" s="126">
        <v>2731.7945700000005</v>
      </c>
      <c r="M50" s="127">
        <v>893.30505000000005</v>
      </c>
      <c r="N50" s="128">
        <f t="shared" si="16"/>
        <v>1.1037308377610048E-2</v>
      </c>
    </row>
    <row r="51" spans="4:14" x14ac:dyDescent="0.2">
      <c r="D51" s="142" t="s">
        <v>147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6">
        <v>1739.9268200000001</v>
      </c>
      <c r="L51" s="126">
        <v>3259.4207099999999</v>
      </c>
      <c r="M51" s="127">
        <v>3316.0163300000004</v>
      </c>
      <c r="N51" s="128">
        <f t="shared" si="16"/>
        <v>4.0971328684866082E-2</v>
      </c>
    </row>
    <row r="52" spans="4:14" ht="13.5" thickBot="1" x14ac:dyDescent="0.25">
      <c r="D52" s="143" t="s">
        <v>148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6">
        <v>863.91899999999998</v>
      </c>
      <c r="L52" s="126">
        <v>873.38750000000005</v>
      </c>
      <c r="M52" s="127">
        <v>1168.2170000000001</v>
      </c>
      <c r="N52" s="128">
        <f t="shared" si="16"/>
        <v>1.4434006928502732E-2</v>
      </c>
    </row>
    <row r="53" spans="4:14" ht="13.5" thickBot="1" x14ac:dyDescent="0.25">
      <c r="D53" s="137" t="s">
        <v>1</v>
      </c>
      <c r="E53" s="138">
        <f t="shared" ref="E53" si="17">SUM(E42,E44:E52)</f>
        <v>45094</v>
      </c>
      <c r="F53" s="138">
        <f>SUM(F42,F44:F52)</f>
        <v>59230.803927257337</v>
      </c>
      <c r="G53" s="138">
        <f t="shared" ref="G53:H53" si="18">SUM(G42,G44:G52)</f>
        <v>60536</v>
      </c>
      <c r="H53" s="138">
        <f t="shared" si="18"/>
        <v>75237</v>
      </c>
      <c r="I53" s="138">
        <f t="shared" ref="I53:N53" si="19">SUM(I42,I44:I52)</f>
        <v>72074</v>
      </c>
      <c r="J53" s="138">
        <f t="shared" si="19"/>
        <v>63552</v>
      </c>
      <c r="K53" s="138">
        <f t="shared" si="19"/>
        <v>74945.192889999991</v>
      </c>
      <c r="L53" s="173">
        <f t="shared" si="19"/>
        <v>83291.644110000008</v>
      </c>
      <c r="M53" s="144">
        <f t="shared" si="19"/>
        <v>80935.044979999991</v>
      </c>
      <c r="N53" s="140">
        <f t="shared" si="19"/>
        <v>1.0000000000000002</v>
      </c>
    </row>
    <row r="54" spans="4:14" ht="9" customHeight="1" x14ac:dyDescent="0.2">
      <c r="D54" s="33"/>
      <c r="E54" s="63"/>
      <c r="F54" s="63"/>
      <c r="G54" s="63"/>
      <c r="H54" s="63"/>
      <c r="I54" s="63"/>
      <c r="J54" s="63"/>
      <c r="K54" s="63"/>
      <c r="L54" s="63"/>
      <c r="M54" s="121"/>
    </row>
    <row r="55" spans="4:14" x14ac:dyDescent="0.2">
      <c r="M55" s="27"/>
      <c r="N55" s="27" t="s">
        <v>46</v>
      </c>
    </row>
  </sheetData>
  <mergeCells count="3">
    <mergeCell ref="M4:N4"/>
    <mergeCell ref="M29:N29"/>
    <mergeCell ref="M41:N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I13:M13 E13:H13" formulaRange="1"/>
    <ignoredError sqref="M37:N40 N5:N22 N30:N36 N42:N53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M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3" width="13.42578125" style="73" customWidth="1"/>
    <col min="14" max="16384" width="11.42578125" style="73"/>
  </cols>
  <sheetData>
    <row r="1" spans="2:13" ht="16.5" customHeight="1" x14ac:dyDescent="0.2"/>
    <row r="2" spans="2:13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6.5" customHeight="1" thickBot="1" x14ac:dyDescent="0.25">
      <c r="D4" s="146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218</v>
      </c>
      <c r="L4" s="35" t="s">
        <v>228</v>
      </c>
      <c r="M4" s="36" t="s">
        <v>230</v>
      </c>
    </row>
    <row r="5" spans="2:13" x14ac:dyDescent="0.2">
      <c r="D5" s="147" t="s">
        <v>149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148">
        <v>201178.7119667732</v>
      </c>
      <c r="L5" s="148">
        <v>228180.57965270267</v>
      </c>
      <c r="M5" s="175">
        <v>233148.15778451602</v>
      </c>
    </row>
    <row r="6" spans="2:13" x14ac:dyDescent="0.2">
      <c r="D6" s="147" t="s">
        <v>150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148">
        <v>106445.70894782545</v>
      </c>
      <c r="L6" s="148">
        <v>124322.25740892976</v>
      </c>
      <c r="M6" s="175">
        <v>120116.23594865162</v>
      </c>
    </row>
    <row r="7" spans="2:13" x14ac:dyDescent="0.2">
      <c r="D7" s="147" t="s">
        <v>151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148">
        <v>5273.0944672962823</v>
      </c>
      <c r="L7" s="148">
        <v>5603.8788135383147</v>
      </c>
      <c r="M7" s="175">
        <v>7289.4169860155953</v>
      </c>
    </row>
    <row r="8" spans="2:13" x14ac:dyDescent="0.2">
      <c r="D8" s="147" t="s">
        <v>152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148">
        <v>4122.684457717337</v>
      </c>
      <c r="L8" s="148">
        <v>4241.9210257455134</v>
      </c>
      <c r="M8" s="175">
        <v>4517.3044418146646</v>
      </c>
    </row>
    <row r="9" spans="2:13" x14ac:dyDescent="0.2">
      <c r="D9" s="147" t="s">
        <v>153</v>
      </c>
      <c r="E9" s="149">
        <v>-58725</v>
      </c>
      <c r="F9" s="149">
        <v>-62201</v>
      </c>
      <c r="G9" s="149">
        <v>-65218</v>
      </c>
      <c r="H9" s="149">
        <f t="shared" ref="H9:M9" si="0">H10-SUM(H5:H8)</f>
        <v>-71482</v>
      </c>
      <c r="I9" s="149">
        <f t="shared" si="0"/>
        <v>-55772</v>
      </c>
      <c r="J9" s="149">
        <f t="shared" si="0"/>
        <v>-57125</v>
      </c>
      <c r="K9" s="149">
        <f t="shared" si="0"/>
        <v>-63786.227702424803</v>
      </c>
      <c r="L9" s="149">
        <f t="shared" si="0"/>
        <v>-73111.073119931272</v>
      </c>
      <c r="M9" s="41">
        <f t="shared" si="0"/>
        <v>-73031.695407772029</v>
      </c>
    </row>
    <row r="10" spans="2:13" x14ac:dyDescent="0.2">
      <c r="D10" s="150" t="s">
        <v>154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151">
        <v>253233.97213718743</v>
      </c>
      <c r="L10" s="151">
        <v>289237.56378098496</v>
      </c>
      <c r="M10" s="174">
        <v>292039.41975322587</v>
      </c>
    </row>
    <row r="11" spans="2:13" x14ac:dyDescent="0.2">
      <c r="D11" s="147" t="s">
        <v>155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148">
        <v>29749.336920300007</v>
      </c>
      <c r="L11" s="148">
        <v>32351.0620647</v>
      </c>
      <c r="M11" s="175">
        <v>33217.054706700001</v>
      </c>
    </row>
    <row r="12" spans="2:13" ht="13.5" thickBot="1" x14ac:dyDescent="0.25">
      <c r="D12" s="147" t="s">
        <v>156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-61686</v>
      </c>
      <c r="J12" s="149">
        <v>-66285</v>
      </c>
      <c r="K12" s="149">
        <v>-70745.827264371852</v>
      </c>
      <c r="L12" s="149">
        <v>-80397.15646142124</v>
      </c>
      <c r="M12" s="41">
        <v>-81314.118614981475</v>
      </c>
    </row>
    <row r="13" spans="2:13" ht="13.5" thickBot="1" x14ac:dyDescent="0.25">
      <c r="D13" s="137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3">
        <v>212237.48179311556</v>
      </c>
      <c r="L13" s="43">
        <v>241191.46938426371</v>
      </c>
      <c r="M13" s="44">
        <v>243942.35584494442</v>
      </c>
    </row>
    <row r="14" spans="2:13" ht="9" customHeight="1" x14ac:dyDescent="0.2">
      <c r="D14" s="33"/>
      <c r="E14" s="63"/>
      <c r="F14" s="63"/>
      <c r="G14" s="63"/>
      <c r="H14" s="63"/>
      <c r="I14" s="63"/>
      <c r="J14" s="63"/>
      <c r="K14" s="63"/>
      <c r="L14" s="63"/>
      <c r="M14" s="147"/>
    </row>
    <row r="15" spans="2:13" x14ac:dyDescent="0.2">
      <c r="D15" s="147"/>
      <c r="E15" s="147"/>
      <c r="F15" s="147"/>
      <c r="G15" s="147"/>
      <c r="J15" s="27"/>
      <c r="K15" s="27"/>
      <c r="L15" s="27"/>
      <c r="M15" s="27" t="s">
        <v>46</v>
      </c>
    </row>
    <row r="16" spans="2:13" x14ac:dyDescent="0.2"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4:13" x14ac:dyDescent="0.2">
      <c r="D17" s="147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4:13" ht="13.5" thickBot="1" x14ac:dyDescent="0.25">
      <c r="D18" s="146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5" t="s">
        <v>218</v>
      </c>
      <c r="L18" s="35" t="s">
        <v>228</v>
      </c>
      <c r="M18" s="36" t="s">
        <v>230</v>
      </c>
    </row>
    <row r="19" spans="4:13" x14ac:dyDescent="0.2">
      <c r="D19" s="150" t="s">
        <v>158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151">
        <v>95507</v>
      </c>
      <c r="L19" s="151">
        <v>108536</v>
      </c>
      <c r="M19" s="38">
        <v>109774</v>
      </c>
    </row>
    <row r="20" spans="4:13" x14ac:dyDescent="0.2">
      <c r="D20" s="150" t="s">
        <v>157</v>
      </c>
      <c r="E20" s="151">
        <f t="shared" ref="E20" si="1">+E13</f>
        <v>184181</v>
      </c>
      <c r="F20" s="151">
        <f t="shared" ref="F20:M20" si="2">+F13</f>
        <v>185674</v>
      </c>
      <c r="G20" s="151">
        <f t="shared" si="2"/>
        <v>190725</v>
      </c>
      <c r="H20" s="151">
        <f t="shared" si="2"/>
        <v>206874</v>
      </c>
      <c r="I20" s="151">
        <f t="shared" si="2"/>
        <v>185057</v>
      </c>
      <c r="J20" s="151">
        <f t="shared" si="2"/>
        <v>198857</v>
      </c>
      <c r="K20" s="151">
        <f t="shared" si="2"/>
        <v>212237.48179311556</v>
      </c>
      <c r="L20" s="151">
        <f t="shared" si="2"/>
        <v>241191.46938426371</v>
      </c>
      <c r="M20" s="174">
        <f t="shared" si="2"/>
        <v>243942.35584494442</v>
      </c>
    </row>
    <row r="21" spans="4:13" x14ac:dyDescent="0.2">
      <c r="D21" s="150"/>
      <c r="E21" s="151"/>
      <c r="F21" s="151"/>
      <c r="G21" s="151"/>
      <c r="H21" s="151"/>
      <c r="I21" s="151"/>
      <c r="J21" s="151"/>
      <c r="K21" s="151"/>
      <c r="L21" s="151"/>
      <c r="M21" s="38"/>
    </row>
    <row r="22" spans="4:13" x14ac:dyDescent="0.2">
      <c r="D22" s="150" t="s">
        <v>159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151">
        <v>393541.88915952301</v>
      </c>
      <c r="L22" s="151">
        <v>440389.27402958774</v>
      </c>
      <c r="M22" s="38">
        <v>464877.55612648115</v>
      </c>
    </row>
    <row r="23" spans="4:13" x14ac:dyDescent="0.2">
      <c r="D23" s="152" t="s">
        <v>160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3">
        <v>1</v>
      </c>
      <c r="L23" s="153">
        <v>1</v>
      </c>
      <c r="M23" s="154">
        <v>1</v>
      </c>
    </row>
    <row r="24" spans="4:13" ht="13.5" thickBot="1" x14ac:dyDescent="0.25">
      <c r="D24" s="150"/>
      <c r="E24" s="151"/>
      <c r="F24" s="151"/>
      <c r="G24" s="151"/>
      <c r="H24" s="151"/>
      <c r="I24" s="151"/>
      <c r="J24" s="151"/>
      <c r="K24" s="151"/>
      <c r="L24" s="151"/>
      <c r="M24" s="38"/>
    </row>
    <row r="25" spans="4:13" x14ac:dyDescent="0.2">
      <c r="D25" s="130" t="s">
        <v>161</v>
      </c>
      <c r="E25" s="155">
        <f t="shared" ref="E25" si="3">+E22/E19</f>
        <v>4.6484744139383736</v>
      </c>
      <c r="F25" s="155">
        <f t="shared" ref="F25:L25" si="4">+F22/F19</f>
        <v>4.6816064476671917</v>
      </c>
      <c r="G25" s="155">
        <f t="shared" si="4"/>
        <v>4.7306307309426741</v>
      </c>
      <c r="H25" s="155">
        <f t="shared" si="4"/>
        <v>4.1257939632939422</v>
      </c>
      <c r="I25" s="155">
        <f t="shared" si="4"/>
        <v>4.1732908905195458</v>
      </c>
      <c r="J25" s="155">
        <f t="shared" si="4"/>
        <v>4.0006914682498174</v>
      </c>
      <c r="K25" s="155">
        <f t="shared" si="4"/>
        <v>4.120555447867936</v>
      </c>
      <c r="L25" s="155">
        <f t="shared" si="4"/>
        <v>4.057541037347864</v>
      </c>
      <c r="M25" s="156">
        <f t="shared" ref="M25" si="5">+M22/M19</f>
        <v>4.2348603141589187</v>
      </c>
    </row>
    <row r="26" spans="4:13" ht="13.5" thickBot="1" x14ac:dyDescent="0.25">
      <c r="D26" s="134" t="s">
        <v>162</v>
      </c>
      <c r="E26" s="157">
        <f t="shared" ref="E26:L26" si="6">+E22/E13</f>
        <v>2.0918021288929172</v>
      </c>
      <c r="F26" s="157">
        <f t="shared" si="6"/>
        <v>2.1067153372143483</v>
      </c>
      <c r="G26" s="157">
        <f t="shared" si="6"/>
        <v>2.1287776280712332</v>
      </c>
      <c r="H26" s="157">
        <f t="shared" si="6"/>
        <v>1.8566013004288744</v>
      </c>
      <c r="I26" s="157">
        <f t="shared" si="6"/>
        <v>1.8779662423362271</v>
      </c>
      <c r="J26" s="157">
        <f t="shared" si="6"/>
        <v>1.8002980837301925</v>
      </c>
      <c r="K26" s="157">
        <f t="shared" si="6"/>
        <v>1.8542525374624403</v>
      </c>
      <c r="L26" s="157">
        <f t="shared" si="6"/>
        <v>1.825890754568787</v>
      </c>
      <c r="M26" s="158">
        <f t="shared" ref="M26" si="7">+M22/M13</f>
        <v>1.9056860975056271</v>
      </c>
    </row>
    <row r="27" spans="4:13" ht="9" customHeight="1" x14ac:dyDescent="0.2">
      <c r="D27" s="33"/>
      <c r="E27" s="63"/>
      <c r="F27" s="63"/>
      <c r="G27" s="63"/>
      <c r="H27" s="63"/>
      <c r="I27" s="63"/>
      <c r="J27" s="63"/>
      <c r="K27" s="63"/>
      <c r="L27" s="63"/>
      <c r="M27" s="159"/>
    </row>
    <row r="28" spans="4:13" x14ac:dyDescent="0.2">
      <c r="D28" s="147"/>
      <c r="E28" s="147"/>
      <c r="F28" s="147"/>
      <c r="G28" s="147"/>
      <c r="J28" s="27"/>
      <c r="K28" s="27"/>
      <c r="L28" s="27"/>
      <c r="M28" s="27" t="s">
        <v>46</v>
      </c>
    </row>
    <row r="30" spans="4:13" x14ac:dyDescent="0.2">
      <c r="M30" s="160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I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9" width="13.28515625" style="13" customWidth="1"/>
    <col min="10" max="16384" width="11.42578125" style="13"/>
  </cols>
  <sheetData>
    <row r="1" spans="2:9" ht="16.5" customHeight="1" x14ac:dyDescent="0.25">
      <c r="B1" s="12"/>
    </row>
    <row r="2" spans="2:9" ht="18.75" customHeight="1" thickBot="1" x14ac:dyDescent="0.3">
      <c r="B2" s="11" t="s">
        <v>32</v>
      </c>
      <c r="D2" s="14" t="s">
        <v>41</v>
      </c>
      <c r="E2" s="15"/>
      <c r="F2" s="15"/>
      <c r="G2" s="15"/>
      <c r="H2" s="15"/>
      <c r="I2" s="15"/>
    </row>
    <row r="4" spans="2:9" ht="15.75" customHeight="1" thickBot="1" x14ac:dyDescent="0.3">
      <c r="D4" s="16" t="s">
        <v>72</v>
      </c>
      <c r="E4" s="17" t="s">
        <v>16</v>
      </c>
      <c r="F4" s="17" t="s">
        <v>20</v>
      </c>
      <c r="G4" s="17" t="s">
        <v>218</v>
      </c>
      <c r="H4" s="17" t="s">
        <v>228</v>
      </c>
      <c r="I4" s="18" t="s">
        <v>230</v>
      </c>
    </row>
    <row r="5" spans="2:9" ht="15.75" customHeight="1" x14ac:dyDescent="0.25">
      <c r="D5" s="19" t="s">
        <v>73</v>
      </c>
      <c r="E5" s="20">
        <v>51661</v>
      </c>
      <c r="F5" s="20">
        <v>41746</v>
      </c>
      <c r="G5" s="20">
        <v>16709</v>
      </c>
      <c r="H5" s="20">
        <v>16988</v>
      </c>
      <c r="I5" s="21">
        <v>20571</v>
      </c>
    </row>
    <row r="6" spans="2:9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0">
        <f>G7</f>
        <v>57876</v>
      </c>
      <c r="H6" s="20">
        <f>H7</f>
        <v>60066</v>
      </c>
      <c r="I6" s="21">
        <f>I7</f>
        <v>55421</v>
      </c>
    </row>
    <row r="7" spans="2:9" ht="15.75" customHeight="1" x14ac:dyDescent="0.25">
      <c r="D7" s="22" t="s">
        <v>75</v>
      </c>
      <c r="E7" s="20">
        <v>48818</v>
      </c>
      <c r="F7" s="20">
        <v>53998</v>
      </c>
      <c r="G7" s="20">
        <v>57876</v>
      </c>
      <c r="H7" s="20">
        <v>60066</v>
      </c>
      <c r="I7" s="21">
        <v>55421</v>
      </c>
    </row>
    <row r="8" spans="2:9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0">
        <f>SUM(H9,H10)</f>
        <v>1075297</v>
      </c>
      <c r="I8" s="21">
        <f>SUM(I9,I10)</f>
        <v>1095259</v>
      </c>
    </row>
    <row r="9" spans="2:9" ht="15.75" customHeight="1" x14ac:dyDescent="0.25">
      <c r="D9" s="22" t="s">
        <v>75</v>
      </c>
      <c r="E9" s="20">
        <v>72068</v>
      </c>
      <c r="F9" s="20">
        <v>63524</v>
      </c>
      <c r="G9" s="20">
        <v>74918</v>
      </c>
      <c r="H9" s="20">
        <v>83292</v>
      </c>
      <c r="I9" s="21">
        <v>80935</v>
      </c>
    </row>
    <row r="10" spans="2:9" ht="15.75" customHeight="1" x14ac:dyDescent="0.25">
      <c r="D10" s="22" t="s">
        <v>77</v>
      </c>
      <c r="E10" s="20">
        <v>618778</v>
      </c>
      <c r="F10" s="20">
        <v>759821</v>
      </c>
      <c r="G10" s="20">
        <v>850449</v>
      </c>
      <c r="H10" s="20">
        <v>992005</v>
      </c>
      <c r="I10" s="21">
        <v>1014324</v>
      </c>
    </row>
    <row r="11" spans="2:9" ht="15.75" customHeight="1" x14ac:dyDescent="0.25">
      <c r="D11" s="19" t="s">
        <v>78</v>
      </c>
      <c r="E11" s="20">
        <v>22373</v>
      </c>
      <c r="F11" s="20">
        <v>15456</v>
      </c>
      <c r="G11" s="20">
        <v>34341</v>
      </c>
      <c r="H11" s="20">
        <v>10979</v>
      </c>
      <c r="I11" s="21">
        <v>14390</v>
      </c>
    </row>
    <row r="12" spans="2:9" ht="15.75" customHeight="1" x14ac:dyDescent="0.25">
      <c r="D12" s="19" t="s">
        <v>79</v>
      </c>
      <c r="E12" s="20">
        <v>7808</v>
      </c>
      <c r="F12" s="20">
        <v>5909</v>
      </c>
      <c r="G12" s="20">
        <v>4652</v>
      </c>
      <c r="H12" s="20">
        <v>5062</v>
      </c>
      <c r="I12" s="21">
        <v>0</v>
      </c>
    </row>
    <row r="13" spans="2:9" ht="15.75" customHeight="1" x14ac:dyDescent="0.25">
      <c r="D13" s="19" t="s">
        <v>80</v>
      </c>
      <c r="E13" s="20">
        <v>21957</v>
      </c>
      <c r="F13" s="20">
        <v>31939</v>
      </c>
      <c r="G13" s="20">
        <v>34097</v>
      </c>
      <c r="H13" s="20">
        <v>29151</v>
      </c>
      <c r="I13" s="21">
        <v>34611</v>
      </c>
    </row>
    <row r="14" spans="2:9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0">
        <f>SUM(H15,H16)</f>
        <v>103414</v>
      </c>
      <c r="I14" s="21">
        <f>SUM(I15,I16)</f>
        <v>103223</v>
      </c>
    </row>
    <row r="15" spans="2:9" ht="15.75" customHeight="1" x14ac:dyDescent="0.25">
      <c r="D15" s="22" t="s">
        <v>82</v>
      </c>
      <c r="E15" s="20">
        <v>45368</v>
      </c>
      <c r="F15" s="20">
        <v>43077</v>
      </c>
      <c r="G15" s="20">
        <v>42351</v>
      </c>
      <c r="H15" s="20">
        <v>42471</v>
      </c>
      <c r="I15" s="21">
        <v>41836</v>
      </c>
    </row>
    <row r="16" spans="2:9" ht="15.75" customHeight="1" x14ac:dyDescent="0.25">
      <c r="D16" s="22" t="s">
        <v>83</v>
      </c>
      <c r="E16" s="20">
        <v>64676</v>
      </c>
      <c r="F16" s="20">
        <v>58523</v>
      </c>
      <c r="G16" s="20">
        <v>58456</v>
      </c>
      <c r="H16" s="20">
        <v>60943</v>
      </c>
      <c r="I16" s="21">
        <v>61387</v>
      </c>
    </row>
    <row r="17" spans="4:9" ht="15.75" customHeight="1" x14ac:dyDescent="0.25">
      <c r="D17" s="19" t="s">
        <v>84</v>
      </c>
      <c r="E17" s="20">
        <v>14482</v>
      </c>
      <c r="F17" s="20">
        <v>29188</v>
      </c>
      <c r="G17" s="20">
        <v>45345</v>
      </c>
      <c r="H17" s="20">
        <v>54621</v>
      </c>
      <c r="I17" s="21">
        <v>56297</v>
      </c>
    </row>
    <row r="18" spans="4:9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0">
        <v>16942</v>
      </c>
      <c r="H18" s="20">
        <v>19122</v>
      </c>
      <c r="I18" s="24">
        <v>31753</v>
      </c>
    </row>
    <row r="19" spans="4:9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30">
        <f>SUM(G5,G6,G8,G11,G12,G13,G14,G17,G18)</f>
        <v>1236136</v>
      </c>
      <c r="H19" s="30">
        <f>SUM(H5,H6,H8,H11,H12,H13,H14,H17,H18)</f>
        <v>1374700</v>
      </c>
      <c r="I19" s="26">
        <f>SUM(I5,I6,I8,I11,I12,I13,I14,I17,I18)</f>
        <v>1411525</v>
      </c>
    </row>
    <row r="20" spans="4:9" ht="6.75" customHeight="1" x14ac:dyDescent="0.25"/>
    <row r="21" spans="4:9" x14ac:dyDescent="0.25">
      <c r="E21" s="27"/>
      <c r="F21" s="27"/>
      <c r="G21" s="27"/>
      <c r="H21" s="27"/>
      <c r="I21" s="27" t="s">
        <v>46</v>
      </c>
    </row>
    <row r="24" spans="4:9" ht="15.75" customHeight="1" thickBot="1" x14ac:dyDescent="0.3">
      <c r="D24" s="16" t="s">
        <v>87</v>
      </c>
      <c r="E24" s="17" t="s">
        <v>16</v>
      </c>
      <c r="F24" s="17" t="s">
        <v>20</v>
      </c>
      <c r="G24" s="17" t="s">
        <v>218</v>
      </c>
      <c r="H24" s="17" t="s">
        <v>228</v>
      </c>
      <c r="I24" s="18" t="s">
        <v>230</v>
      </c>
    </row>
    <row r="25" spans="4:9" ht="15.75" customHeight="1" x14ac:dyDescent="0.25">
      <c r="D25" s="19" t="s">
        <v>88</v>
      </c>
      <c r="E25" s="20">
        <v>59288</v>
      </c>
      <c r="F25" s="20">
        <v>65313</v>
      </c>
      <c r="G25" s="20">
        <v>77315</v>
      </c>
      <c r="H25" s="20">
        <v>69850</v>
      </c>
      <c r="I25" s="21">
        <v>80970</v>
      </c>
    </row>
    <row r="26" spans="4:9" ht="15.75" customHeight="1" x14ac:dyDescent="0.25">
      <c r="D26" s="19" t="s">
        <v>79</v>
      </c>
      <c r="E26" s="20">
        <v>0</v>
      </c>
      <c r="F26" s="20">
        <v>0</v>
      </c>
      <c r="G26" s="20">
        <v>0</v>
      </c>
      <c r="H26" s="20">
        <v>0</v>
      </c>
      <c r="I26" s="21">
        <v>0</v>
      </c>
    </row>
    <row r="27" spans="4:9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0">
        <f>SUM(H28,H29)</f>
        <v>853522</v>
      </c>
      <c r="I27" s="21">
        <f>SUM(I28,I29)</f>
        <v>854758</v>
      </c>
    </row>
    <row r="28" spans="4:9" ht="15.75" customHeight="1" x14ac:dyDescent="0.25">
      <c r="D28" s="28" t="s">
        <v>90</v>
      </c>
      <c r="E28" s="20">
        <v>325056</v>
      </c>
      <c r="F28" s="20">
        <v>339352</v>
      </c>
      <c r="G28" s="20">
        <v>362277</v>
      </c>
      <c r="H28" s="20">
        <v>404153</v>
      </c>
      <c r="I28" s="21">
        <v>405047</v>
      </c>
    </row>
    <row r="29" spans="4:9" ht="15.75" customHeight="1" x14ac:dyDescent="0.25">
      <c r="D29" s="28" t="s">
        <v>91</v>
      </c>
      <c r="E29" s="20">
        <v>285225</v>
      </c>
      <c r="F29" s="20">
        <v>375959</v>
      </c>
      <c r="G29" s="20">
        <v>405189</v>
      </c>
      <c r="H29" s="20">
        <v>449369</v>
      </c>
      <c r="I29" s="21">
        <v>449711</v>
      </c>
    </row>
    <row r="30" spans="4:9" ht="15.75" customHeight="1" x14ac:dyDescent="0.25">
      <c r="D30" s="19" t="s">
        <v>92</v>
      </c>
      <c r="E30" s="20">
        <v>780</v>
      </c>
      <c r="F30" s="20">
        <v>375</v>
      </c>
      <c r="G30" s="20">
        <v>3649</v>
      </c>
      <c r="H30" s="20">
        <v>9048</v>
      </c>
      <c r="I30" s="21">
        <v>10830</v>
      </c>
    </row>
    <row r="31" spans="4:9" ht="15.75" customHeight="1" thickBot="1" x14ac:dyDescent="0.3">
      <c r="D31" s="19" t="s">
        <v>93</v>
      </c>
      <c r="E31" s="20">
        <v>31746</v>
      </c>
      <c r="F31" s="20">
        <v>31288</v>
      </c>
      <c r="G31" s="20">
        <v>29389</v>
      </c>
      <c r="H31" s="20">
        <v>37825</v>
      </c>
      <c r="I31" s="21">
        <v>42839</v>
      </c>
    </row>
    <row r="32" spans="4:9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0">
        <f>SUM(G25,G26,G27,G30,G31)</f>
        <v>877819</v>
      </c>
      <c r="H32" s="30">
        <f>SUM(H25,H26,H27,H30,H31)</f>
        <v>970245</v>
      </c>
      <c r="I32" s="31">
        <f>SUM(I25,I26,I27,I30,I31)</f>
        <v>989397</v>
      </c>
    </row>
    <row r="33" spans="4:9" ht="15.75" customHeight="1" x14ac:dyDescent="0.25">
      <c r="D33" s="32" t="s">
        <v>95</v>
      </c>
      <c r="E33" s="20">
        <v>324243</v>
      </c>
      <c r="F33" s="20">
        <v>330087</v>
      </c>
      <c r="G33" s="20">
        <v>366829</v>
      </c>
      <c r="H33" s="20">
        <v>408301</v>
      </c>
      <c r="I33" s="21">
        <v>431680</v>
      </c>
    </row>
    <row r="34" spans="4:9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0">
        <f>SUM(H35,H36,H37)</f>
        <v>-3846</v>
      </c>
      <c r="I34" s="21">
        <f>SUM(I35,I36,I37)</f>
        <v>-9552</v>
      </c>
    </row>
    <row r="35" spans="4:9" ht="15.75" customHeight="1" x14ac:dyDescent="0.25">
      <c r="D35" s="22" t="s">
        <v>76</v>
      </c>
      <c r="E35" s="20">
        <v>-29856</v>
      </c>
      <c r="F35" s="20">
        <v>-18226</v>
      </c>
      <c r="G35" s="20">
        <v>-8569</v>
      </c>
      <c r="H35" s="20">
        <v>-3624</v>
      </c>
      <c r="I35" s="21">
        <v>-10797</v>
      </c>
    </row>
    <row r="36" spans="4:9" ht="15.75" customHeight="1" x14ac:dyDescent="0.25">
      <c r="D36" s="22" t="s">
        <v>97</v>
      </c>
      <c r="E36" s="20">
        <v>6241</v>
      </c>
      <c r="F36" s="20">
        <v>1689</v>
      </c>
      <c r="G36" s="20">
        <v>203</v>
      </c>
      <c r="H36" s="20">
        <v>-154</v>
      </c>
      <c r="I36" s="21">
        <v>1370</v>
      </c>
    </row>
    <row r="37" spans="4:9" ht="15.75" customHeight="1" thickBot="1" x14ac:dyDescent="0.3">
      <c r="D37" s="22" t="s">
        <v>98</v>
      </c>
      <c r="E37" s="20">
        <v>-297</v>
      </c>
      <c r="F37" s="20">
        <v>-515</v>
      </c>
      <c r="G37" s="20">
        <v>-146</v>
      </c>
      <c r="H37" s="20">
        <v>-68</v>
      </c>
      <c r="I37" s="21">
        <v>-125</v>
      </c>
    </row>
    <row r="38" spans="4:9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0">
        <f>SUM(G33,G34)</f>
        <v>358317</v>
      </c>
      <c r="H38" s="30">
        <f>SUM(H33,H34)</f>
        <v>404455</v>
      </c>
      <c r="I38" s="31">
        <f>SUM(I33,I34)</f>
        <v>422128</v>
      </c>
    </row>
    <row r="39" spans="4:9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0">
        <f>SUM(G38,G32)</f>
        <v>1236136</v>
      </c>
      <c r="H39" s="30">
        <f>SUM(H38,H32)</f>
        <v>1374700</v>
      </c>
      <c r="I39" s="31">
        <f>SUM(I38,I32)</f>
        <v>1411525</v>
      </c>
    </row>
    <row r="40" spans="4:9" ht="6.75" customHeight="1" x14ac:dyDescent="0.25"/>
    <row r="41" spans="4:9" x14ac:dyDescent="0.25">
      <c r="E41" s="27"/>
      <c r="F41" s="27"/>
      <c r="G41" s="27"/>
      <c r="H41" s="27"/>
      <c r="I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F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2" width="13.28515625" style="13" hidden="1" customWidth="1" outlineLevel="1" collapsed="1"/>
    <col min="13" max="13" width="13.28515625" style="13" customWidth="1" collapsed="1"/>
    <col min="14" max="14" width="13.28515625" style="13" customWidth="1"/>
    <col min="15" max="16" width="13.28515625" style="13" hidden="1" customWidth="1" outlineLevel="1"/>
    <col min="17" max="17" width="13.28515625" style="13" customWidth="1" collapsed="1"/>
    <col min="18" max="18" width="13.28515625" style="13" customWidth="1"/>
    <col min="19" max="19" width="3" style="13" customWidth="1"/>
    <col min="20" max="16384" width="11.42578125" style="13"/>
  </cols>
  <sheetData>
    <row r="1" spans="2:32" ht="16.5" customHeight="1" x14ac:dyDescent="0.25"/>
    <row r="2" spans="2:32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44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32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188</v>
      </c>
      <c r="K4" s="35" t="s">
        <v>212</v>
      </c>
      <c r="L4" s="35" t="s">
        <v>216</v>
      </c>
      <c r="M4" s="35" t="s">
        <v>218</v>
      </c>
      <c r="N4" s="35" t="s">
        <v>220</v>
      </c>
      <c r="O4" s="35" t="s">
        <v>223</v>
      </c>
      <c r="P4" s="35" t="s">
        <v>226</v>
      </c>
      <c r="Q4" s="35" t="s">
        <v>228</v>
      </c>
      <c r="R4" s="36" t="s">
        <v>230</v>
      </c>
      <c r="T4" s="35" t="s">
        <v>62</v>
      </c>
      <c r="U4" s="35" t="s">
        <v>63</v>
      </c>
      <c r="V4" s="35" t="s">
        <v>64</v>
      </c>
      <c r="W4" s="35" t="s">
        <v>65</v>
      </c>
      <c r="X4" s="35" t="s">
        <v>189</v>
      </c>
      <c r="Y4" s="35" t="s">
        <v>213</v>
      </c>
      <c r="Z4" s="35" t="s">
        <v>217</v>
      </c>
      <c r="AA4" s="35" t="s">
        <v>219</v>
      </c>
      <c r="AB4" s="35" t="s">
        <v>221</v>
      </c>
      <c r="AC4" s="35" t="s">
        <v>224</v>
      </c>
      <c r="AD4" s="35" t="s">
        <v>227</v>
      </c>
      <c r="AE4" s="35" t="s">
        <v>229</v>
      </c>
      <c r="AF4" s="36" t="s">
        <v>232</v>
      </c>
    </row>
    <row r="5" spans="2:32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7">
        <v>757629.10199999996</v>
      </c>
      <c r="M5" s="37">
        <v>1019606</v>
      </c>
      <c r="N5" s="37">
        <v>275197.83</v>
      </c>
      <c r="O5" s="37">
        <v>558219</v>
      </c>
      <c r="P5" s="37">
        <v>843814.41700000013</v>
      </c>
      <c r="Q5" s="37">
        <v>1134670</v>
      </c>
      <c r="R5" s="38">
        <v>303229</v>
      </c>
      <c r="T5" s="37">
        <f>F5</f>
        <v>244209</v>
      </c>
      <c r="U5" s="37">
        <f t="shared" ref="U5:U21" si="0">G5-F5</f>
        <v>247738</v>
      </c>
      <c r="V5" s="37">
        <f t="shared" ref="V5:V21" si="1">H5-G5</f>
        <v>239998</v>
      </c>
      <c r="W5" s="37">
        <f t="shared" ref="W5:W21" si="2">I5-H5</f>
        <v>241336</v>
      </c>
      <c r="X5" s="37">
        <f>J5</f>
        <v>251419</v>
      </c>
      <c r="Y5" s="37">
        <f t="shared" ref="Y5:Y21" si="3">K5-J5</f>
        <v>252481</v>
      </c>
      <c r="Z5" s="37">
        <f t="shared" ref="Z5:Z21" si="4">L5-K5</f>
        <v>253729.10199999996</v>
      </c>
      <c r="AA5" s="37">
        <f t="shared" ref="AA5:AA21" si="5">M5-L5</f>
        <v>261976.89800000004</v>
      </c>
      <c r="AB5" s="37">
        <f t="shared" ref="AB5:AB21" si="6">N5</f>
        <v>275197.83</v>
      </c>
      <c r="AC5" s="37">
        <f t="shared" ref="AC5:AC21" si="7">O5-N5</f>
        <v>283021.17</v>
      </c>
      <c r="AD5" s="37">
        <f t="shared" ref="AD5:AD21" si="8">P5-O5</f>
        <v>285595.41700000013</v>
      </c>
      <c r="AE5" s="37">
        <f t="shared" ref="AE5:AE21" si="9">Q5-P5</f>
        <v>290855.58299999987</v>
      </c>
      <c r="AF5" s="38">
        <f t="shared" ref="AF5:AF21" si="10">R5</f>
        <v>303229</v>
      </c>
    </row>
    <row r="6" spans="2:32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7">
        <v>736771.60531775502</v>
      </c>
      <c r="M6" s="37">
        <v>991329</v>
      </c>
      <c r="N6" s="37">
        <v>254640.72</v>
      </c>
      <c r="O6" s="37">
        <v>518858</v>
      </c>
      <c r="P6" s="37">
        <v>794075.97667591798</v>
      </c>
      <c r="Q6" s="37">
        <v>1076705</v>
      </c>
      <c r="R6" s="38">
        <v>283397</v>
      </c>
      <c r="T6" s="37">
        <f t="shared" ref="T6" si="11">F6</f>
        <v>234570</v>
      </c>
      <c r="U6" s="37">
        <f t="shared" ref="U6" si="12">G6-F6</f>
        <v>239093</v>
      </c>
      <c r="V6" s="37">
        <f t="shared" ref="V6" si="13">H6-G6</f>
        <v>242564</v>
      </c>
      <c r="W6" s="37">
        <f t="shared" ref="W6" si="14">I6-H6</f>
        <v>244039</v>
      </c>
      <c r="X6" s="37">
        <f t="shared" ref="X6:X21" si="15">J6</f>
        <v>242618</v>
      </c>
      <c r="Y6" s="37">
        <f t="shared" si="3"/>
        <v>243989</v>
      </c>
      <c r="Z6" s="37">
        <f t="shared" si="4"/>
        <v>250164.60531775502</v>
      </c>
      <c r="AA6" s="37">
        <f t="shared" si="5"/>
        <v>254557.39468224498</v>
      </c>
      <c r="AB6" s="37">
        <f t="shared" si="6"/>
        <v>254640.72</v>
      </c>
      <c r="AC6" s="37">
        <f t="shared" si="7"/>
        <v>264217.28000000003</v>
      </c>
      <c r="AD6" s="37">
        <f t="shared" si="8"/>
        <v>275217.97667591798</v>
      </c>
      <c r="AE6" s="37">
        <f t="shared" si="9"/>
        <v>282629.02332408202</v>
      </c>
      <c r="AF6" s="38">
        <f t="shared" si="10"/>
        <v>283397</v>
      </c>
    </row>
    <row r="7" spans="2:32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7">
        <v>718695.53736775497</v>
      </c>
      <c r="M7" s="37">
        <v>967099</v>
      </c>
      <c r="N7" s="37">
        <v>248071.24</v>
      </c>
      <c r="O7" s="37">
        <v>505365</v>
      </c>
      <c r="P7" s="37">
        <v>773595.53046591801</v>
      </c>
      <c r="Q7" s="37">
        <v>1049598</v>
      </c>
      <c r="R7" s="38">
        <v>275517</v>
      </c>
      <c r="T7" s="37">
        <f t="shared" ref="T7:T21" si="16">F7</f>
        <v>228664</v>
      </c>
      <c r="U7" s="37">
        <f t="shared" si="0"/>
        <v>233329</v>
      </c>
      <c r="V7" s="37">
        <f t="shared" si="1"/>
        <v>236661</v>
      </c>
      <c r="W7" s="37">
        <f t="shared" si="2"/>
        <v>238123</v>
      </c>
      <c r="X7" s="37">
        <f t="shared" si="15"/>
        <v>236370</v>
      </c>
      <c r="Y7" s="37">
        <f t="shared" si="3"/>
        <v>238149</v>
      </c>
      <c r="Z7" s="37">
        <f t="shared" si="4"/>
        <v>244176.53736775497</v>
      </c>
      <c r="AA7" s="37">
        <f t="shared" si="5"/>
        <v>248403.46263224503</v>
      </c>
      <c r="AB7" s="37">
        <f t="shared" si="6"/>
        <v>248071.24</v>
      </c>
      <c r="AC7" s="37">
        <f t="shared" si="7"/>
        <v>257293.76</v>
      </c>
      <c r="AD7" s="37">
        <f t="shared" si="8"/>
        <v>268230.53046591801</v>
      </c>
      <c r="AE7" s="37">
        <f t="shared" si="9"/>
        <v>276002.46953408199</v>
      </c>
      <c r="AF7" s="38">
        <f t="shared" si="10"/>
        <v>275517</v>
      </c>
    </row>
    <row r="8" spans="2:32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0">
        <v>-527584.48815628421</v>
      </c>
      <c r="M8" s="40">
        <v>-701900</v>
      </c>
      <c r="N8" s="40">
        <v>-176755.59</v>
      </c>
      <c r="O8" s="40">
        <v>-359380</v>
      </c>
      <c r="P8" s="40">
        <v>-559064.54167199112</v>
      </c>
      <c r="Q8" s="40">
        <v>-751050</v>
      </c>
      <c r="R8" s="41">
        <v>-200234</v>
      </c>
      <c r="T8" s="40">
        <f t="shared" si="16"/>
        <v>-192634</v>
      </c>
      <c r="U8" s="40">
        <f t="shared" si="0"/>
        <v>-203412</v>
      </c>
      <c r="V8" s="40">
        <f t="shared" si="1"/>
        <v>-188169</v>
      </c>
      <c r="W8" s="40">
        <f t="shared" si="2"/>
        <v>-176547</v>
      </c>
      <c r="X8" s="40">
        <f t="shared" si="15"/>
        <v>-177499</v>
      </c>
      <c r="Y8" s="40">
        <f t="shared" si="3"/>
        <v>-170620</v>
      </c>
      <c r="Z8" s="40">
        <f t="shared" si="4"/>
        <v>-179465.48815628421</v>
      </c>
      <c r="AA8" s="40">
        <f t="shared" si="5"/>
        <v>-174315.51184371579</v>
      </c>
      <c r="AB8" s="40">
        <f t="shared" si="6"/>
        <v>-176755.59</v>
      </c>
      <c r="AC8" s="40">
        <f t="shared" si="7"/>
        <v>-182624.41</v>
      </c>
      <c r="AD8" s="40">
        <f t="shared" si="8"/>
        <v>-199684.54167199112</v>
      </c>
      <c r="AE8" s="40">
        <f t="shared" si="9"/>
        <v>-191985.45832800888</v>
      </c>
      <c r="AF8" s="41">
        <f t="shared" si="10"/>
        <v>-200234</v>
      </c>
    </row>
    <row r="9" spans="2:32" x14ac:dyDescent="0.25">
      <c r="B9" s="10"/>
      <c r="D9" s="39" t="s">
        <v>59</v>
      </c>
      <c r="E9" s="40">
        <f t="shared" ref="E9:I9" si="17">SUM(E10:E11)</f>
        <v>-208590</v>
      </c>
      <c r="F9" s="40">
        <f t="shared" si="17"/>
        <v>-51657</v>
      </c>
      <c r="G9" s="40">
        <f t="shared" si="17"/>
        <v>-102482</v>
      </c>
      <c r="H9" s="40">
        <f t="shared" si="17"/>
        <v>-156182</v>
      </c>
      <c r="I9" s="40">
        <f t="shared" si="17"/>
        <v>-214240</v>
      </c>
      <c r="J9" s="40">
        <f>SUM(J10:J11)</f>
        <v>-52560</v>
      </c>
      <c r="K9" s="40">
        <f>SUM(K10:K11)</f>
        <v>-104813</v>
      </c>
      <c r="L9" s="40">
        <f t="shared" ref="L9:M9" si="18">SUM(L10:L11)</f>
        <v>-158258.72943705731</v>
      </c>
      <c r="M9" s="40">
        <f t="shared" si="18"/>
        <v>-213973</v>
      </c>
      <c r="N9" s="40">
        <f>SUM(N10:N11)</f>
        <v>-52217.48</v>
      </c>
      <c r="O9" s="40">
        <f>SUM(O10:O11)</f>
        <v>-107241</v>
      </c>
      <c r="P9" s="40">
        <f>SUM(P10:P11)</f>
        <v>-163491.79530045792</v>
      </c>
      <c r="Q9" s="40">
        <f>SUM(Q10:Q11)</f>
        <v>-221126</v>
      </c>
      <c r="R9" s="41">
        <f>SUM(R10:R11)</f>
        <v>-52355</v>
      </c>
      <c r="T9" s="40">
        <f t="shared" si="16"/>
        <v>-51657</v>
      </c>
      <c r="U9" s="40">
        <f t="shared" si="0"/>
        <v>-50825</v>
      </c>
      <c r="V9" s="40">
        <f t="shared" si="1"/>
        <v>-53700</v>
      </c>
      <c r="W9" s="40">
        <f t="shared" si="2"/>
        <v>-58058</v>
      </c>
      <c r="X9" s="40">
        <f t="shared" si="15"/>
        <v>-52560</v>
      </c>
      <c r="Y9" s="40">
        <f t="shared" si="3"/>
        <v>-52253</v>
      </c>
      <c r="Z9" s="40">
        <f t="shared" si="4"/>
        <v>-53445.729437057307</v>
      </c>
      <c r="AA9" s="40">
        <f t="shared" si="5"/>
        <v>-55714.270562942693</v>
      </c>
      <c r="AB9" s="40">
        <f t="shared" si="6"/>
        <v>-52217.48</v>
      </c>
      <c r="AC9" s="40">
        <f t="shared" si="7"/>
        <v>-55023.519999999997</v>
      </c>
      <c r="AD9" s="40">
        <f t="shared" si="8"/>
        <v>-56250.795300457918</v>
      </c>
      <c r="AE9" s="40">
        <f t="shared" si="9"/>
        <v>-57634.204699542082</v>
      </c>
      <c r="AF9" s="41">
        <f t="shared" si="10"/>
        <v>-52355</v>
      </c>
    </row>
    <row r="10" spans="2:32" x14ac:dyDescent="0.25">
      <c r="B10" s="10"/>
      <c r="D10" s="168" t="s">
        <v>178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0">
        <v>-135420.923759981</v>
      </c>
      <c r="M10" s="40">
        <v>-184412</v>
      </c>
      <c r="N10" s="40">
        <v>-43928.480000000003</v>
      </c>
      <c r="O10" s="40">
        <v>-91413</v>
      </c>
      <c r="P10" s="40">
        <v>-139953.98200949005</v>
      </c>
      <c r="Q10" s="40">
        <v>-190096</v>
      </c>
      <c r="R10" s="41">
        <v>-44029</v>
      </c>
      <c r="T10" s="40">
        <f t="shared" ref="T10:T11" si="19">F10</f>
        <v>-44308</v>
      </c>
      <c r="U10" s="40">
        <f t="shared" ref="U10:U11" si="20">G10-F10</f>
        <v>-43035</v>
      </c>
      <c r="V10" s="40">
        <f t="shared" ref="V10:V11" si="21">H10-G10</f>
        <v>-46045</v>
      </c>
      <c r="W10" s="40">
        <f t="shared" ref="W10:W11" si="22">I10-H10</f>
        <v>-50166</v>
      </c>
      <c r="X10" s="40">
        <f t="shared" ref="X10:X11" si="23">J10</f>
        <v>-45501</v>
      </c>
      <c r="Y10" s="40">
        <f t="shared" si="3"/>
        <v>-44092</v>
      </c>
      <c r="Z10" s="40">
        <f t="shared" si="4"/>
        <v>-45827.923759981</v>
      </c>
      <c r="AA10" s="40">
        <f t="shared" si="5"/>
        <v>-48991.076240019</v>
      </c>
      <c r="AB10" s="40">
        <f t="shared" si="6"/>
        <v>-43928.480000000003</v>
      </c>
      <c r="AC10" s="40">
        <f t="shared" si="7"/>
        <v>-47484.52</v>
      </c>
      <c r="AD10" s="40">
        <f t="shared" si="8"/>
        <v>-48540.98200949005</v>
      </c>
      <c r="AE10" s="40">
        <f t="shared" si="9"/>
        <v>-50142.01799050995</v>
      </c>
      <c r="AF10" s="41">
        <f t="shared" si="10"/>
        <v>-44029</v>
      </c>
    </row>
    <row r="11" spans="2:32" x14ac:dyDescent="0.25">
      <c r="B11" s="10"/>
      <c r="D11" s="168" t="s">
        <v>214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0">
        <v>-22837.805677076314</v>
      </c>
      <c r="M11" s="40">
        <v>-29561</v>
      </c>
      <c r="N11" s="40">
        <v>-8289</v>
      </c>
      <c r="O11" s="40">
        <v>-15828</v>
      </c>
      <c r="P11" s="40">
        <v>-23537.813290967879</v>
      </c>
      <c r="Q11" s="40">
        <v>-31030</v>
      </c>
      <c r="R11" s="41">
        <v>-8326</v>
      </c>
      <c r="T11" s="40">
        <f t="shared" si="19"/>
        <v>-7349</v>
      </c>
      <c r="U11" s="40">
        <f t="shared" si="20"/>
        <v>-7790</v>
      </c>
      <c r="V11" s="40">
        <f t="shared" si="21"/>
        <v>-7655</v>
      </c>
      <c r="W11" s="40">
        <f t="shared" si="22"/>
        <v>-7892</v>
      </c>
      <c r="X11" s="40">
        <f t="shared" si="23"/>
        <v>-7059</v>
      </c>
      <c r="Y11" s="40">
        <f t="shared" si="3"/>
        <v>-8161</v>
      </c>
      <c r="Z11" s="40">
        <f t="shared" si="4"/>
        <v>-7617.8056770763142</v>
      </c>
      <c r="AA11" s="40">
        <f t="shared" si="5"/>
        <v>-6723.1943229236858</v>
      </c>
      <c r="AB11" s="40">
        <f t="shared" si="6"/>
        <v>-8289</v>
      </c>
      <c r="AC11" s="40">
        <f t="shared" si="7"/>
        <v>-7539</v>
      </c>
      <c r="AD11" s="40">
        <f t="shared" si="8"/>
        <v>-7709.8132909678789</v>
      </c>
      <c r="AE11" s="40">
        <f t="shared" si="9"/>
        <v>-7492.1867090321211</v>
      </c>
      <c r="AF11" s="41">
        <f t="shared" si="10"/>
        <v>-8326</v>
      </c>
    </row>
    <row r="12" spans="2:32" x14ac:dyDescent="0.25">
      <c r="B12" s="10"/>
      <c r="D12" s="33" t="s">
        <v>56</v>
      </c>
      <c r="E12" s="37">
        <f>SUM(E7:E9)</f>
        <v>37130</v>
      </c>
      <c r="F12" s="37">
        <f t="shared" ref="F12:M12" si="24">SUM(F7:F9)</f>
        <v>-15627</v>
      </c>
      <c r="G12" s="37">
        <f t="shared" si="24"/>
        <v>-36535</v>
      </c>
      <c r="H12" s="37">
        <f t="shared" si="24"/>
        <v>-41743</v>
      </c>
      <c r="I12" s="37">
        <f t="shared" si="24"/>
        <v>-38225</v>
      </c>
      <c r="J12" s="37">
        <f t="shared" si="24"/>
        <v>6311</v>
      </c>
      <c r="K12" s="37">
        <f t="shared" si="24"/>
        <v>21587</v>
      </c>
      <c r="L12" s="37">
        <f t="shared" si="24"/>
        <v>32852.319774413452</v>
      </c>
      <c r="M12" s="37">
        <f t="shared" si="24"/>
        <v>51226</v>
      </c>
      <c r="N12" s="37">
        <f>SUM(N7:N9)</f>
        <v>19098.169999999991</v>
      </c>
      <c r="O12" s="37">
        <f>SUM(O7:O9)</f>
        <v>38744</v>
      </c>
      <c r="P12" s="37">
        <f>SUM(P7:P9)</f>
        <v>51039.193493468978</v>
      </c>
      <c r="Q12" s="37">
        <f>SUM(Q7:Q9)</f>
        <v>77422</v>
      </c>
      <c r="R12" s="38">
        <f>SUM(R7:R9)</f>
        <v>22928</v>
      </c>
      <c r="T12" s="37">
        <f t="shared" si="16"/>
        <v>-15627</v>
      </c>
      <c r="U12" s="37">
        <f t="shared" si="0"/>
        <v>-20908</v>
      </c>
      <c r="V12" s="37">
        <f t="shared" si="1"/>
        <v>-5208</v>
      </c>
      <c r="W12" s="37">
        <f t="shared" si="2"/>
        <v>3518</v>
      </c>
      <c r="X12" s="37">
        <f t="shared" si="15"/>
        <v>6311</v>
      </c>
      <c r="Y12" s="37">
        <f t="shared" si="3"/>
        <v>15276</v>
      </c>
      <c r="Z12" s="37">
        <f t="shared" si="4"/>
        <v>11265.319774413452</v>
      </c>
      <c r="AA12" s="37">
        <f t="shared" si="5"/>
        <v>18373.680225586548</v>
      </c>
      <c r="AB12" s="37">
        <f t="shared" si="6"/>
        <v>19098.169999999991</v>
      </c>
      <c r="AC12" s="37">
        <f t="shared" si="7"/>
        <v>19645.830000000009</v>
      </c>
      <c r="AD12" s="37">
        <f t="shared" si="8"/>
        <v>12295.193493468978</v>
      </c>
      <c r="AE12" s="37">
        <f t="shared" si="9"/>
        <v>26382.806506531022</v>
      </c>
      <c r="AF12" s="38">
        <f t="shared" si="10"/>
        <v>22928</v>
      </c>
    </row>
    <row r="13" spans="2:32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0">
        <v>38181.659050000002</v>
      </c>
      <c r="M13" s="40">
        <v>54807</v>
      </c>
      <c r="N13" s="40">
        <v>13137.13</v>
      </c>
      <c r="O13" s="40">
        <v>28163</v>
      </c>
      <c r="P13" s="40">
        <v>39347.359681073118</v>
      </c>
      <c r="Q13" s="40">
        <v>51315</v>
      </c>
      <c r="R13" s="41">
        <v>15056</v>
      </c>
      <c r="T13" s="40">
        <f t="shared" si="16"/>
        <v>14031</v>
      </c>
      <c r="U13" s="40">
        <f t="shared" si="0"/>
        <v>9394</v>
      </c>
      <c r="V13" s="40">
        <f t="shared" si="1"/>
        <v>10498</v>
      </c>
      <c r="W13" s="40">
        <f t="shared" si="2"/>
        <v>16326</v>
      </c>
      <c r="X13" s="40">
        <f t="shared" si="15"/>
        <v>12313</v>
      </c>
      <c r="Y13" s="40">
        <f t="shared" si="3"/>
        <v>12684</v>
      </c>
      <c r="Z13" s="40">
        <f t="shared" si="4"/>
        <v>13184.659050000002</v>
      </c>
      <c r="AA13" s="40">
        <f t="shared" si="5"/>
        <v>16625.340949999998</v>
      </c>
      <c r="AB13" s="40">
        <f t="shared" si="6"/>
        <v>13137.13</v>
      </c>
      <c r="AC13" s="40">
        <f t="shared" si="7"/>
        <v>15025.87</v>
      </c>
      <c r="AD13" s="40">
        <f t="shared" si="8"/>
        <v>11184.359681073118</v>
      </c>
      <c r="AE13" s="40">
        <f t="shared" si="9"/>
        <v>11967.640318926882</v>
      </c>
      <c r="AF13" s="41">
        <f t="shared" si="10"/>
        <v>15056</v>
      </c>
    </row>
    <row r="14" spans="2:32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0">
        <v>-11276.845520861865</v>
      </c>
      <c r="M14" s="40">
        <v>-15158</v>
      </c>
      <c r="N14" s="40">
        <v>-2935.73</v>
      </c>
      <c r="O14" s="40">
        <v>-5930</v>
      </c>
      <c r="P14" s="40">
        <v>-7349.8104473832009</v>
      </c>
      <c r="Q14" s="40">
        <v>-9530</v>
      </c>
      <c r="R14" s="41">
        <v>-5588</v>
      </c>
      <c r="T14" s="40">
        <f t="shared" si="16"/>
        <v>-5645</v>
      </c>
      <c r="U14" s="40">
        <f t="shared" si="0"/>
        <v>-996</v>
      </c>
      <c r="V14" s="40">
        <f t="shared" si="1"/>
        <v>-1922</v>
      </c>
      <c r="W14" s="40">
        <f t="shared" si="2"/>
        <v>-7694</v>
      </c>
      <c r="X14" s="40">
        <f t="shared" si="15"/>
        <v>-3087</v>
      </c>
      <c r="Y14" s="40">
        <f t="shared" si="3"/>
        <v>-5309</v>
      </c>
      <c r="Z14" s="40">
        <f t="shared" si="4"/>
        <v>-2880.8455208618652</v>
      </c>
      <c r="AA14" s="40">
        <f t="shared" si="5"/>
        <v>-3881.1544791381348</v>
      </c>
      <c r="AB14" s="40">
        <f t="shared" si="6"/>
        <v>-2935.73</v>
      </c>
      <c r="AC14" s="40">
        <f t="shared" si="7"/>
        <v>-2994.27</v>
      </c>
      <c r="AD14" s="40">
        <f t="shared" si="8"/>
        <v>-1419.8104473832009</v>
      </c>
      <c r="AE14" s="40">
        <f t="shared" si="9"/>
        <v>-2180.1895526167991</v>
      </c>
      <c r="AF14" s="41">
        <f t="shared" si="10"/>
        <v>-5588</v>
      </c>
    </row>
    <row r="15" spans="2:32" x14ac:dyDescent="0.25">
      <c r="B15" s="10"/>
      <c r="D15" s="33" t="s">
        <v>67</v>
      </c>
      <c r="E15" s="37">
        <f>SUM(E13:E14)</f>
        <v>41845</v>
      </c>
      <c r="F15" s="37">
        <f t="shared" ref="F15:M15" si="25">SUM(F13:F14)</f>
        <v>8386</v>
      </c>
      <c r="G15" s="37">
        <f t="shared" si="25"/>
        <v>16784</v>
      </c>
      <c r="H15" s="37">
        <f t="shared" si="25"/>
        <v>25360</v>
      </c>
      <c r="I15" s="37">
        <f t="shared" si="25"/>
        <v>33992</v>
      </c>
      <c r="J15" s="37">
        <f t="shared" si="25"/>
        <v>9226</v>
      </c>
      <c r="K15" s="37">
        <f t="shared" si="25"/>
        <v>16601</v>
      </c>
      <c r="L15" s="37">
        <f t="shared" si="25"/>
        <v>26904.813529138137</v>
      </c>
      <c r="M15" s="37">
        <f t="shared" si="25"/>
        <v>39649</v>
      </c>
      <c r="N15" s="37">
        <f>SUM(N13:N14)</f>
        <v>10201.4</v>
      </c>
      <c r="O15" s="37">
        <f>SUM(O13:O14)</f>
        <v>22233</v>
      </c>
      <c r="P15" s="37">
        <f>SUM(P13:P14)</f>
        <v>31997.549233689919</v>
      </c>
      <c r="Q15" s="37">
        <f>SUM(Q13:Q14)</f>
        <v>41785</v>
      </c>
      <c r="R15" s="38">
        <f>SUM(R13:R14)</f>
        <v>9468</v>
      </c>
      <c r="T15" s="37">
        <f t="shared" si="16"/>
        <v>8386</v>
      </c>
      <c r="U15" s="37">
        <f t="shared" si="0"/>
        <v>8398</v>
      </c>
      <c r="V15" s="37">
        <f t="shared" si="1"/>
        <v>8576</v>
      </c>
      <c r="W15" s="37">
        <f t="shared" si="2"/>
        <v>8632</v>
      </c>
      <c r="X15" s="37">
        <f t="shared" si="15"/>
        <v>9226</v>
      </c>
      <c r="Y15" s="37">
        <f t="shared" si="3"/>
        <v>7375</v>
      </c>
      <c r="Z15" s="37">
        <f t="shared" si="4"/>
        <v>10303.813529138137</v>
      </c>
      <c r="AA15" s="37">
        <f t="shared" si="5"/>
        <v>12744.186470861863</v>
      </c>
      <c r="AB15" s="37">
        <f t="shared" si="6"/>
        <v>10201.4</v>
      </c>
      <c r="AC15" s="37">
        <f t="shared" si="7"/>
        <v>12031.6</v>
      </c>
      <c r="AD15" s="37">
        <f t="shared" si="8"/>
        <v>9764.5492336899188</v>
      </c>
      <c r="AE15" s="37">
        <f t="shared" si="9"/>
        <v>9787.4507663100812</v>
      </c>
      <c r="AF15" s="38">
        <f t="shared" si="10"/>
        <v>9468</v>
      </c>
    </row>
    <row r="16" spans="2:32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0">
        <v>-6526.7466493054526</v>
      </c>
      <c r="M16" s="40">
        <v>-8683</v>
      </c>
      <c r="N16" s="40">
        <v>-1682.29</v>
      </c>
      <c r="O16" s="40">
        <v>-3074</v>
      </c>
      <c r="P16" s="40">
        <v>-4181.6326292717231</v>
      </c>
      <c r="Q16" s="40">
        <v>-4998</v>
      </c>
      <c r="R16" s="41">
        <v>-1851</v>
      </c>
      <c r="T16" s="40">
        <f t="shared" si="16"/>
        <v>-425</v>
      </c>
      <c r="U16" s="40">
        <f t="shared" si="0"/>
        <v>-853</v>
      </c>
      <c r="V16" s="40">
        <f t="shared" si="1"/>
        <v>-1456</v>
      </c>
      <c r="W16" s="40">
        <f t="shared" si="2"/>
        <v>-1912</v>
      </c>
      <c r="X16" s="40">
        <f t="shared" si="15"/>
        <v>-2182</v>
      </c>
      <c r="Y16" s="40">
        <f t="shared" si="3"/>
        <v>-2131</v>
      </c>
      <c r="Z16" s="40">
        <f t="shared" si="4"/>
        <v>-2213.7466493054526</v>
      </c>
      <c r="AA16" s="40">
        <f t="shared" si="5"/>
        <v>-2156.2533506945474</v>
      </c>
      <c r="AB16" s="40">
        <f t="shared" si="6"/>
        <v>-1682.29</v>
      </c>
      <c r="AC16" s="40">
        <f t="shared" si="7"/>
        <v>-1391.71</v>
      </c>
      <c r="AD16" s="40">
        <f t="shared" si="8"/>
        <v>-1107.6326292717231</v>
      </c>
      <c r="AE16" s="40">
        <f t="shared" si="9"/>
        <v>-816.36737072827691</v>
      </c>
      <c r="AF16" s="41">
        <f t="shared" si="10"/>
        <v>-1851</v>
      </c>
    </row>
    <row r="17" spans="2:32" x14ac:dyDescent="0.25">
      <c r="B17" s="10"/>
      <c r="D17" s="39" t="s">
        <v>69</v>
      </c>
      <c r="E17" s="40">
        <f>SUM(E12,E15,E16)</f>
        <v>79400</v>
      </c>
      <c r="F17" s="40">
        <f t="shared" ref="F17:M17" si="26">SUM(F12,F15,F16)</f>
        <v>-7666</v>
      </c>
      <c r="G17" s="40">
        <f t="shared" si="26"/>
        <v>-21029</v>
      </c>
      <c r="H17" s="40">
        <f t="shared" si="26"/>
        <v>-19117</v>
      </c>
      <c r="I17" s="40">
        <f t="shared" si="26"/>
        <v>-8879</v>
      </c>
      <c r="J17" s="40">
        <f t="shared" si="26"/>
        <v>13355</v>
      </c>
      <c r="K17" s="40">
        <f t="shared" si="26"/>
        <v>33875</v>
      </c>
      <c r="L17" s="40">
        <f t="shared" si="26"/>
        <v>53230.386654246133</v>
      </c>
      <c r="M17" s="40">
        <f t="shared" si="26"/>
        <v>82192</v>
      </c>
      <c r="N17" s="40">
        <f>SUM(N12,N15,N16)</f>
        <v>27617.279999999992</v>
      </c>
      <c r="O17" s="40">
        <f>SUM(O12,O15,O16)</f>
        <v>57903</v>
      </c>
      <c r="P17" s="40">
        <f>SUM(P12,P15,P16)</f>
        <v>78855.110097887169</v>
      </c>
      <c r="Q17" s="40">
        <f>SUM(Q12,Q15,Q16)</f>
        <v>114209</v>
      </c>
      <c r="R17" s="41">
        <f>SUM(R12,R15,R16)</f>
        <v>30545</v>
      </c>
      <c r="T17" s="40">
        <f t="shared" ref="T17" si="27">F17</f>
        <v>-7666</v>
      </c>
      <c r="U17" s="40">
        <f t="shared" si="0"/>
        <v>-13363</v>
      </c>
      <c r="V17" s="40">
        <f t="shared" si="1"/>
        <v>1912</v>
      </c>
      <c r="W17" s="40">
        <f t="shared" si="2"/>
        <v>10238</v>
      </c>
      <c r="X17" s="40">
        <f t="shared" si="15"/>
        <v>13355</v>
      </c>
      <c r="Y17" s="40">
        <f t="shared" si="3"/>
        <v>20520</v>
      </c>
      <c r="Z17" s="40">
        <f t="shared" si="4"/>
        <v>19355.386654246133</v>
      </c>
      <c r="AA17" s="40">
        <f t="shared" si="5"/>
        <v>28961.613345753867</v>
      </c>
      <c r="AB17" s="40">
        <f t="shared" si="6"/>
        <v>27617.279999999992</v>
      </c>
      <c r="AC17" s="40">
        <f t="shared" si="7"/>
        <v>30285.720000000008</v>
      </c>
      <c r="AD17" s="40">
        <f t="shared" si="8"/>
        <v>20952.110097887169</v>
      </c>
      <c r="AE17" s="40">
        <f t="shared" si="9"/>
        <v>35353.889902112831</v>
      </c>
      <c r="AF17" s="41">
        <f t="shared" si="10"/>
        <v>30545</v>
      </c>
    </row>
    <row r="18" spans="2:32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0">
        <v>646.18651561858724</v>
      </c>
      <c r="M18" s="40">
        <v>1118</v>
      </c>
      <c r="N18" s="40">
        <v>42.019999999999982</v>
      </c>
      <c r="O18" s="40">
        <v>236</v>
      </c>
      <c r="P18" s="40">
        <v>408.91041415776363</v>
      </c>
      <c r="Q18" s="40">
        <v>-74</v>
      </c>
      <c r="R18" s="41">
        <v>175</v>
      </c>
      <c r="T18" s="40">
        <f t="shared" si="16"/>
        <v>608</v>
      </c>
      <c r="U18" s="40">
        <f t="shared" si="0"/>
        <v>537</v>
      </c>
      <c r="V18" s="40">
        <f t="shared" si="1"/>
        <v>928</v>
      </c>
      <c r="W18" s="40">
        <f t="shared" si="2"/>
        <v>259</v>
      </c>
      <c r="X18" s="40">
        <f t="shared" si="15"/>
        <v>335</v>
      </c>
      <c r="Y18" s="40">
        <f t="shared" si="3"/>
        <v>75</v>
      </c>
      <c r="Z18" s="40">
        <f t="shared" si="4"/>
        <v>236.18651561858724</v>
      </c>
      <c r="AA18" s="40">
        <f t="shared" si="5"/>
        <v>471.81348438141276</v>
      </c>
      <c r="AB18" s="40">
        <f t="shared" si="6"/>
        <v>42.019999999999982</v>
      </c>
      <c r="AC18" s="40">
        <f t="shared" si="7"/>
        <v>193.98000000000002</v>
      </c>
      <c r="AD18" s="40">
        <f t="shared" si="8"/>
        <v>172.91041415776363</v>
      </c>
      <c r="AE18" s="40">
        <f t="shared" si="9"/>
        <v>-482.91041415776363</v>
      </c>
      <c r="AF18" s="41">
        <f t="shared" si="10"/>
        <v>175</v>
      </c>
    </row>
    <row r="19" spans="2:32" x14ac:dyDescent="0.25">
      <c r="B19" s="10"/>
      <c r="D19" s="33" t="s">
        <v>107</v>
      </c>
      <c r="E19" s="37">
        <f>SUM(E17:E18)</f>
        <v>83560</v>
      </c>
      <c r="F19" s="37">
        <f t="shared" ref="F19:M19" si="28">SUM(F17:F18)</f>
        <v>-7058</v>
      </c>
      <c r="G19" s="37">
        <f t="shared" si="28"/>
        <v>-19884</v>
      </c>
      <c r="H19" s="37">
        <f t="shared" si="28"/>
        <v>-17044</v>
      </c>
      <c r="I19" s="37">
        <f t="shared" si="28"/>
        <v>-6547</v>
      </c>
      <c r="J19" s="37">
        <f t="shared" si="28"/>
        <v>13690</v>
      </c>
      <c r="K19" s="37">
        <f t="shared" si="28"/>
        <v>34285</v>
      </c>
      <c r="L19" s="37">
        <f t="shared" si="28"/>
        <v>53876.573169864721</v>
      </c>
      <c r="M19" s="37">
        <f t="shared" si="28"/>
        <v>83310</v>
      </c>
      <c r="N19" s="37">
        <f>SUM(N17:N18)</f>
        <v>27659.299999999992</v>
      </c>
      <c r="O19" s="37">
        <f>SUM(O17:O18)</f>
        <v>58139</v>
      </c>
      <c r="P19" s="37">
        <f>SUM(P17:P18)</f>
        <v>79264.020512044939</v>
      </c>
      <c r="Q19" s="37">
        <f>SUM(Q17:Q18)</f>
        <v>114135</v>
      </c>
      <c r="R19" s="38">
        <f>SUM(R17:R18)</f>
        <v>30720</v>
      </c>
      <c r="T19" s="37">
        <f t="shared" si="16"/>
        <v>-7058</v>
      </c>
      <c r="U19" s="37">
        <f t="shared" si="0"/>
        <v>-12826</v>
      </c>
      <c r="V19" s="37">
        <f t="shared" si="1"/>
        <v>2840</v>
      </c>
      <c r="W19" s="37">
        <f t="shared" si="2"/>
        <v>10497</v>
      </c>
      <c r="X19" s="37">
        <f t="shared" si="15"/>
        <v>13690</v>
      </c>
      <c r="Y19" s="37">
        <f t="shared" si="3"/>
        <v>20595</v>
      </c>
      <c r="Z19" s="37">
        <f t="shared" si="4"/>
        <v>19591.573169864721</v>
      </c>
      <c r="AA19" s="37">
        <f t="shared" si="5"/>
        <v>29433.426830135279</v>
      </c>
      <c r="AB19" s="37">
        <f t="shared" si="6"/>
        <v>27659.299999999992</v>
      </c>
      <c r="AC19" s="37">
        <f t="shared" si="7"/>
        <v>30479.700000000008</v>
      </c>
      <c r="AD19" s="37">
        <f t="shared" si="8"/>
        <v>21125.020512044939</v>
      </c>
      <c r="AE19" s="37">
        <f t="shared" si="9"/>
        <v>34870.979487955061</v>
      </c>
      <c r="AF19" s="38">
        <f t="shared" si="10"/>
        <v>30720</v>
      </c>
    </row>
    <row r="20" spans="2:32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0">
        <v>-13129.998519966126</v>
      </c>
      <c r="M20" s="40">
        <v>-19094</v>
      </c>
      <c r="N20" s="40">
        <v>-6825</v>
      </c>
      <c r="O20" s="40">
        <v>-14369</v>
      </c>
      <c r="P20" s="40">
        <v>-19591.567919928078</v>
      </c>
      <c r="Q20" s="40">
        <v>-28425</v>
      </c>
      <c r="R20" s="41">
        <v>-7322</v>
      </c>
      <c r="T20" s="40">
        <f t="shared" si="16"/>
        <v>1767</v>
      </c>
      <c r="U20" s="40">
        <f t="shared" si="0"/>
        <v>3023</v>
      </c>
      <c r="V20" s="40">
        <f t="shared" si="1"/>
        <v>-235</v>
      </c>
      <c r="W20" s="40">
        <f t="shared" si="2"/>
        <v>-2398</v>
      </c>
      <c r="X20" s="40">
        <f t="shared" si="15"/>
        <v>-3580</v>
      </c>
      <c r="Y20" s="40">
        <f t="shared" si="3"/>
        <v>-5287</v>
      </c>
      <c r="Z20" s="40">
        <f t="shared" si="4"/>
        <v>-4262.998519966126</v>
      </c>
      <c r="AA20" s="40">
        <f t="shared" si="5"/>
        <v>-5964.001480033874</v>
      </c>
      <c r="AB20" s="40">
        <f t="shared" si="6"/>
        <v>-6825</v>
      </c>
      <c r="AC20" s="40">
        <f t="shared" si="7"/>
        <v>-7544</v>
      </c>
      <c r="AD20" s="40">
        <f t="shared" si="8"/>
        <v>-5222.5679199280785</v>
      </c>
      <c r="AE20" s="40">
        <f t="shared" si="9"/>
        <v>-8833.4320800719215</v>
      </c>
      <c r="AF20" s="41">
        <f t="shared" si="10"/>
        <v>-7322</v>
      </c>
    </row>
    <row r="21" spans="2:32" ht="15" thickBot="1" x14ac:dyDescent="0.3">
      <c r="B21" s="10"/>
      <c r="D21" s="42" t="s">
        <v>108</v>
      </c>
      <c r="E21" s="43">
        <f>SUM(E19:E20)</f>
        <v>63124</v>
      </c>
      <c r="F21" s="43">
        <f t="shared" ref="F21:M21" si="29">SUM(F19:F20)</f>
        <v>-5291</v>
      </c>
      <c r="G21" s="43">
        <f t="shared" si="29"/>
        <v>-15094</v>
      </c>
      <c r="H21" s="43">
        <f t="shared" si="29"/>
        <v>-12489</v>
      </c>
      <c r="I21" s="43">
        <f t="shared" si="29"/>
        <v>-4390</v>
      </c>
      <c r="J21" s="43">
        <f t="shared" si="29"/>
        <v>10110</v>
      </c>
      <c r="K21" s="43">
        <f t="shared" si="29"/>
        <v>25418</v>
      </c>
      <c r="L21" s="43">
        <f t="shared" si="29"/>
        <v>40746.574649898597</v>
      </c>
      <c r="M21" s="43">
        <f t="shared" si="29"/>
        <v>64216</v>
      </c>
      <c r="N21" s="43">
        <f>SUM(N19:N20)</f>
        <v>20834.299999999992</v>
      </c>
      <c r="O21" s="43">
        <f>SUM(O19:O20)</f>
        <v>43770</v>
      </c>
      <c r="P21" s="43">
        <f>SUM(P19:P20)</f>
        <v>59672.452592116861</v>
      </c>
      <c r="Q21" s="43">
        <f>SUM(Q19:Q20)</f>
        <v>85710</v>
      </c>
      <c r="R21" s="44">
        <f>SUM(R19:R20)</f>
        <v>23398</v>
      </c>
      <c r="T21" s="43">
        <f t="shared" si="16"/>
        <v>-5291</v>
      </c>
      <c r="U21" s="43">
        <f t="shared" si="0"/>
        <v>-9803</v>
      </c>
      <c r="V21" s="43">
        <f t="shared" si="1"/>
        <v>2605</v>
      </c>
      <c r="W21" s="43">
        <f t="shared" si="2"/>
        <v>8099</v>
      </c>
      <c r="X21" s="43">
        <f t="shared" si="15"/>
        <v>10110</v>
      </c>
      <c r="Y21" s="43">
        <f t="shared" si="3"/>
        <v>15308</v>
      </c>
      <c r="Z21" s="43">
        <f t="shared" si="4"/>
        <v>15328.574649898597</v>
      </c>
      <c r="AA21" s="43">
        <f t="shared" si="5"/>
        <v>23469.425350101403</v>
      </c>
      <c r="AB21" s="43">
        <f t="shared" si="6"/>
        <v>20834.299999999992</v>
      </c>
      <c r="AC21" s="43">
        <f t="shared" si="7"/>
        <v>22935.700000000008</v>
      </c>
      <c r="AD21" s="43">
        <f t="shared" si="8"/>
        <v>15902.452592116861</v>
      </c>
      <c r="AE21" s="43">
        <f t="shared" si="9"/>
        <v>26037.547407883139</v>
      </c>
      <c r="AF21" s="44">
        <f t="shared" si="10"/>
        <v>23398</v>
      </c>
    </row>
    <row r="22" spans="2:32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2:32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/>
      <c r="R23" s="27" t="s">
        <v>46</v>
      </c>
      <c r="S23" s="27"/>
      <c r="T23" s="27"/>
      <c r="U23" s="27"/>
      <c r="W23" s="27"/>
      <c r="X23" s="27"/>
      <c r="Y23" s="27"/>
      <c r="Z23" s="27"/>
      <c r="AA23" s="27"/>
      <c r="AB23" s="27"/>
      <c r="AC23" s="27"/>
      <c r="AD23" s="27"/>
      <c r="AE23" s="27"/>
      <c r="AF23" s="27" t="s">
        <v>46</v>
      </c>
    </row>
    <row r="24" spans="2:32" x14ac:dyDescent="0.25">
      <c r="D24" s="46"/>
    </row>
    <row r="26" spans="2:32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188</v>
      </c>
      <c r="K26" s="35" t="s">
        <v>212</v>
      </c>
      <c r="L26" s="35" t="s">
        <v>216</v>
      </c>
      <c r="M26" s="35" t="s">
        <v>218</v>
      </c>
      <c r="N26" s="35" t="s">
        <v>220</v>
      </c>
      <c r="O26" s="35" t="s">
        <v>223</v>
      </c>
      <c r="P26" s="35" t="s">
        <v>226</v>
      </c>
      <c r="Q26" s="35" t="s">
        <v>228</v>
      </c>
      <c r="R26" s="36" t="s">
        <v>230</v>
      </c>
      <c r="T26" s="35" t="s">
        <v>62</v>
      </c>
      <c r="U26" s="35" t="s">
        <v>63</v>
      </c>
      <c r="V26" s="35" t="s">
        <v>64</v>
      </c>
      <c r="W26" s="35" t="s">
        <v>65</v>
      </c>
      <c r="X26" s="35" t="s">
        <v>189</v>
      </c>
      <c r="Y26" s="35" t="s">
        <v>213</v>
      </c>
      <c r="Z26" s="35" t="s">
        <v>217</v>
      </c>
      <c r="AA26" s="35" t="s">
        <v>219</v>
      </c>
      <c r="AB26" s="35" t="s">
        <v>221</v>
      </c>
      <c r="AC26" s="35" t="s">
        <v>224</v>
      </c>
      <c r="AD26" s="35" t="s">
        <v>227</v>
      </c>
      <c r="AE26" s="35" t="s">
        <v>229</v>
      </c>
      <c r="AF26" s="36" t="s">
        <v>232</v>
      </c>
    </row>
    <row r="27" spans="2:32" x14ac:dyDescent="0.25">
      <c r="D27" s="48" t="s">
        <v>60</v>
      </c>
      <c r="E27" s="49">
        <f>-E8/E7</f>
        <v>0.72685000427977975</v>
      </c>
      <c r="F27" s="49">
        <f t="shared" ref="F27:M27" si="30">-F8/F7</f>
        <v>0.84243256481125139</v>
      </c>
      <c r="G27" s="49">
        <f t="shared" si="30"/>
        <v>0.85725541296080243</v>
      </c>
      <c r="H27" s="49">
        <f t="shared" si="30"/>
        <v>0.83620075173118602</v>
      </c>
      <c r="I27" s="49">
        <f t="shared" si="30"/>
        <v>0.81210576263080758</v>
      </c>
      <c r="J27" s="49">
        <f t="shared" si="30"/>
        <v>0.750937090155265</v>
      </c>
      <c r="K27" s="49">
        <f t="shared" si="30"/>
        <v>0.73362499710232887</v>
      </c>
      <c r="L27" s="49">
        <f t="shared" si="30"/>
        <v>0.73408621693767429</v>
      </c>
      <c r="M27" s="49">
        <f t="shared" si="30"/>
        <v>0.72577884994193975</v>
      </c>
      <c r="N27" s="49">
        <f>-N8/N7</f>
        <v>0.71251947626012591</v>
      </c>
      <c r="O27" s="49">
        <f>-O8/O7</f>
        <v>0.71112957961077639</v>
      </c>
      <c r="P27" s="49">
        <f>-P8/P7</f>
        <v>0.72268326231833313</v>
      </c>
      <c r="Q27" s="49">
        <f>-Q8/Q7</f>
        <v>0.71555967141705679</v>
      </c>
      <c r="R27" s="50">
        <f>-R8/R7</f>
        <v>0.72675733257838904</v>
      </c>
      <c r="T27" s="49">
        <f t="shared" ref="T27:AD27" si="31">-T8/T7</f>
        <v>0.84243256481125139</v>
      </c>
      <c r="U27" s="49">
        <f t="shared" si="31"/>
        <v>0.87178190452108395</v>
      </c>
      <c r="V27" s="49">
        <f t="shared" si="31"/>
        <v>0.79509931927947575</v>
      </c>
      <c r="W27" s="49">
        <f t="shared" si="31"/>
        <v>0.74141095148305702</v>
      </c>
      <c r="X27" s="49">
        <f t="shared" si="31"/>
        <v>0.750937090155265</v>
      </c>
      <c r="Y27" s="49">
        <f t="shared" si="31"/>
        <v>0.71644222734506546</v>
      </c>
      <c r="Z27" s="49">
        <f t="shared" si="31"/>
        <v>0.73498252572068679</v>
      </c>
      <c r="AA27" s="49">
        <f t="shared" si="31"/>
        <v>0.70174348616784554</v>
      </c>
      <c r="AB27" s="49">
        <f t="shared" si="31"/>
        <v>0.71251947626012591</v>
      </c>
      <c r="AC27" s="49">
        <f t="shared" si="31"/>
        <v>0.70978950286240905</v>
      </c>
      <c r="AD27" s="49">
        <f t="shared" si="31"/>
        <v>0.7444512051821166</v>
      </c>
      <c r="AE27" s="49">
        <f>-AE8/AE7-0.01%</f>
        <v>0.69549326281427237</v>
      </c>
      <c r="AF27" s="50">
        <f>-AF8/AF7-0.01%</f>
        <v>0.72665733257838905</v>
      </c>
    </row>
    <row r="28" spans="2:32" ht="15" thickBot="1" x14ac:dyDescent="0.3">
      <c r="D28" s="48" t="s">
        <v>61</v>
      </c>
      <c r="E28" s="49">
        <f>-E9/E7</f>
        <v>0.23187513270096344</v>
      </c>
      <c r="F28" s="49">
        <f t="shared" ref="F28:M28" si="32">-F9/F7</f>
        <v>0.2259078823076654</v>
      </c>
      <c r="G28" s="49">
        <f t="shared" si="32"/>
        <v>0.2218258718205687</v>
      </c>
      <c r="H28" s="49">
        <f t="shared" si="32"/>
        <v>0.22354699178706483</v>
      </c>
      <c r="I28" s="49">
        <f t="shared" si="32"/>
        <v>0.22869903936582558</v>
      </c>
      <c r="J28" s="49">
        <f t="shared" si="32"/>
        <v>0.2223632440665059</v>
      </c>
      <c r="K28" s="49">
        <f t="shared" si="32"/>
        <v>0.22088262008475951</v>
      </c>
      <c r="L28" s="49">
        <f t="shared" si="32"/>
        <v>0.2202027440113026</v>
      </c>
      <c r="M28" s="49">
        <f t="shared" si="32"/>
        <v>0.22125242607013346</v>
      </c>
      <c r="N28" s="49">
        <f>-N9/N7</f>
        <v>0.2104938887716287</v>
      </c>
      <c r="O28" s="49">
        <f>-O9/O7</f>
        <v>0.2122050399216408</v>
      </c>
      <c r="P28" s="49">
        <f>-P9/P7</f>
        <v>0.21134014980928179</v>
      </c>
      <c r="Q28" s="49">
        <f>-ROUND(Q9/Q7,2)</f>
        <v>0.21</v>
      </c>
      <c r="R28" s="50">
        <f>-ROUND(R9/R7,2)</f>
        <v>0.19</v>
      </c>
      <c r="T28" s="49">
        <f t="shared" ref="T28:AE28" si="33">-T9/T7</f>
        <v>0.2259078823076654</v>
      </c>
      <c r="U28" s="49">
        <f t="shared" si="33"/>
        <v>0.21782547390165818</v>
      </c>
      <c r="V28" s="49">
        <f t="shared" si="33"/>
        <v>0.22690684143141457</v>
      </c>
      <c r="W28" s="49">
        <f t="shared" si="33"/>
        <v>0.24381517115104379</v>
      </c>
      <c r="X28" s="49">
        <f t="shared" si="33"/>
        <v>0.2223632440665059</v>
      </c>
      <c r="Y28" s="49">
        <f t="shared" si="33"/>
        <v>0.2194130565318351</v>
      </c>
      <c r="Z28" s="49">
        <f t="shared" si="33"/>
        <v>0.21888151094780472</v>
      </c>
      <c r="AA28" s="49">
        <f t="shared" si="33"/>
        <v>0.22428942806415805</v>
      </c>
      <c r="AB28" s="49">
        <f t="shared" si="33"/>
        <v>0.2104938887716287</v>
      </c>
      <c r="AC28" s="49">
        <f t="shared" si="33"/>
        <v>0.21385485602138193</v>
      </c>
      <c r="AD28" s="49">
        <f t="shared" si="33"/>
        <v>0.20971063660333503</v>
      </c>
      <c r="AE28" s="49">
        <f t="shared" si="33"/>
        <v>0.20881771383000311</v>
      </c>
      <c r="AF28" s="50">
        <f t="shared" ref="AF28" si="34">-AF9/AF7</f>
        <v>0.19002457198648359</v>
      </c>
    </row>
    <row r="29" spans="2:32" ht="15" thickBot="1" x14ac:dyDescent="0.3">
      <c r="D29" s="42" t="s">
        <v>225</v>
      </c>
      <c r="E29" s="51">
        <f>-(E8+E9)/E7</f>
        <v>0.95872513698074324</v>
      </c>
      <c r="F29" s="51">
        <f t="shared" ref="F29:M29" si="35">-(F8+F9)/F7</f>
        <v>1.0683404471189168</v>
      </c>
      <c r="G29" s="51">
        <f t="shared" si="35"/>
        <v>1.0790812847813711</v>
      </c>
      <c r="H29" s="51">
        <f t="shared" si="35"/>
        <v>1.0597477435182507</v>
      </c>
      <c r="I29" s="51">
        <f t="shared" si="35"/>
        <v>1.0408048019966332</v>
      </c>
      <c r="J29" s="51">
        <f t="shared" si="35"/>
        <v>0.97330033422177098</v>
      </c>
      <c r="K29" s="51">
        <f t="shared" si="35"/>
        <v>0.95450761718708843</v>
      </c>
      <c r="L29" s="51">
        <f t="shared" si="35"/>
        <v>0.95428896094897686</v>
      </c>
      <c r="M29" s="51">
        <f t="shared" si="35"/>
        <v>0.94703127601207326</v>
      </c>
      <c r="N29" s="51">
        <f>-(N8+N9)/N7</f>
        <v>0.92301336503175468</v>
      </c>
      <c r="O29" s="51">
        <f>-(O8+O9)/O7</f>
        <v>0.92333461953241713</v>
      </c>
      <c r="P29" s="51">
        <f>-(P8+P9)/P7</f>
        <v>0.93402341212761486</v>
      </c>
      <c r="Q29" s="51">
        <f>-(Q8+Q9)/Q7</f>
        <v>0.92623652102995624</v>
      </c>
      <c r="R29" s="52">
        <f>-(R8+R9)/R7</f>
        <v>0.91678190456487263</v>
      </c>
      <c r="T29" s="51">
        <f t="shared" ref="T29:AE29" si="36">-(T8+T9)/T7</f>
        <v>1.0683404471189168</v>
      </c>
      <c r="U29" s="51">
        <f t="shared" si="36"/>
        <v>1.0896073784227422</v>
      </c>
      <c r="V29" s="51">
        <f t="shared" si="36"/>
        <v>1.0220061607108903</v>
      </c>
      <c r="W29" s="51">
        <f t="shared" si="36"/>
        <v>0.98522612263410081</v>
      </c>
      <c r="X29" s="51">
        <f t="shared" si="36"/>
        <v>0.97330033422177098</v>
      </c>
      <c r="Y29" s="51">
        <f t="shared" si="36"/>
        <v>0.93585528387690065</v>
      </c>
      <c r="Z29" s="51">
        <f t="shared" si="36"/>
        <v>0.95386403666849151</v>
      </c>
      <c r="AA29" s="51">
        <f t="shared" si="36"/>
        <v>0.92603291423200362</v>
      </c>
      <c r="AB29" s="51">
        <f t="shared" si="36"/>
        <v>0.92301336503175468</v>
      </c>
      <c r="AC29" s="51">
        <f t="shared" si="36"/>
        <v>0.92364435888379093</v>
      </c>
      <c r="AD29" s="51">
        <f t="shared" si="36"/>
        <v>0.95416184178545171</v>
      </c>
      <c r="AE29" s="51">
        <f t="shared" si="36"/>
        <v>0.90441097664427539</v>
      </c>
      <c r="AF29" s="52">
        <f t="shared" ref="AF29" si="37">-(AF8+AF9)/AF7</f>
        <v>0.91678190456487263</v>
      </c>
    </row>
    <row r="31" spans="2:32" x14ac:dyDescent="0.25">
      <c r="O31" s="172"/>
      <c r="P31" s="172"/>
      <c r="Q31" s="172"/>
      <c r="R31" s="172" t="s">
        <v>231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2:I12 E20:I20 E15:I19 E13:G14 I13:I14" formulaRange="1"/>
    <ignoredError sqref="X12:X21 X5:X9 X10:X11 AB5:AB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X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2" width="11.28515625" style="10" hidden="1" customWidth="1" outlineLevel="1" collapsed="1"/>
    <col min="13" max="13" width="11.28515625" style="10" customWidth="1" collapsed="1"/>
    <col min="14" max="14" width="11.28515625" style="10" customWidth="1"/>
    <col min="15" max="16" width="11.28515625" style="10" hidden="1" customWidth="1" outlineLevel="1"/>
    <col min="17" max="17" width="11.28515625" style="10" customWidth="1" collapsed="1"/>
    <col min="18" max="18" width="11.28515625" style="10" customWidth="1"/>
    <col min="19" max="19" width="11.42578125" style="10"/>
    <col min="20" max="25" width="11.42578125" style="10" customWidth="1"/>
    <col min="26" max="16384" width="11.42578125" style="10"/>
  </cols>
  <sheetData>
    <row r="1" spans="2:24" ht="16.5" customHeight="1" x14ac:dyDescent="0.25"/>
    <row r="2" spans="2:24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2:24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2:24" x14ac:dyDescent="0.25">
      <c r="B4" s="53"/>
      <c r="D4" s="54"/>
      <c r="E4" s="179" t="s">
        <v>53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2:24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188</v>
      </c>
      <c r="K5" s="17" t="s">
        <v>212</v>
      </c>
      <c r="L5" s="17" t="s">
        <v>216</v>
      </c>
      <c r="M5" s="17" t="s">
        <v>218</v>
      </c>
      <c r="N5" s="17" t="s">
        <v>220</v>
      </c>
      <c r="O5" s="17" t="s">
        <v>223</v>
      </c>
      <c r="P5" s="17" t="s">
        <v>226</v>
      </c>
      <c r="Q5" s="17" t="s">
        <v>228</v>
      </c>
      <c r="R5" s="18" t="s">
        <v>230</v>
      </c>
      <c r="S5" s="55" t="s">
        <v>0</v>
      </c>
    </row>
    <row r="6" spans="2:24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6">
        <v>598103.24732775497</v>
      </c>
      <c r="M6" s="56">
        <v>804392</v>
      </c>
      <c r="N6" s="56">
        <v>205889.29</v>
      </c>
      <c r="O6" s="56">
        <v>419815</v>
      </c>
      <c r="P6" s="56">
        <v>643227.37947591802</v>
      </c>
      <c r="Q6" s="56">
        <v>873091</v>
      </c>
      <c r="R6" s="57">
        <v>230360</v>
      </c>
      <c r="S6" s="58">
        <f>+R6/N6-1</f>
        <v>0.11885372959419116</v>
      </c>
    </row>
    <row r="7" spans="2:24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6">
        <v>113982.33140999996</v>
      </c>
      <c r="M7" s="56">
        <v>153448</v>
      </c>
      <c r="N7" s="56">
        <v>39373.040000000001</v>
      </c>
      <c r="O7" s="56">
        <v>79958</v>
      </c>
      <c r="P7" s="56">
        <v>121644.68644999995</v>
      </c>
      <c r="Q7" s="56">
        <v>163814</v>
      </c>
      <c r="R7" s="57">
        <v>41569</v>
      </c>
      <c r="S7" s="58">
        <f>+R7/N7-1</f>
        <v>5.5773188963818887E-2</v>
      </c>
    </row>
    <row r="8" spans="2:24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6">
        <v>23947.163200000006</v>
      </c>
      <c r="M8" s="56">
        <v>32365</v>
      </c>
      <c r="N8" s="56">
        <v>8792.8700000000008</v>
      </c>
      <c r="O8" s="56">
        <v>17893</v>
      </c>
      <c r="P8" s="56">
        <v>27263.313189999993</v>
      </c>
      <c r="Q8" s="56">
        <v>36966</v>
      </c>
      <c r="R8" s="57">
        <v>10346</v>
      </c>
      <c r="S8" s="58">
        <f>+R8/N8-1</f>
        <v>0.17663516007856361</v>
      </c>
    </row>
    <row r="9" spans="2:24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6">
        <v>738.86337999999921</v>
      </c>
      <c r="M9" s="56">
        <v>1124</v>
      </c>
      <c r="N9" s="56">
        <v>585.51</v>
      </c>
      <c r="O9" s="56">
        <v>1192</v>
      </c>
      <c r="P9" s="56">
        <v>1940.5975599999986</v>
      </c>
      <c r="Q9" s="56">
        <v>2834</v>
      </c>
      <c r="R9" s="57">
        <v>1122</v>
      </c>
      <c r="S9" s="58">
        <f>+R9/N9-1</f>
        <v>0.91627811651380853</v>
      </c>
    </row>
    <row r="10" spans="2:24" ht="15" thickBot="1" x14ac:dyDescent="0.3">
      <c r="B10" s="53"/>
      <c r="D10" s="42" t="s">
        <v>1</v>
      </c>
      <c r="E10" s="59">
        <f t="shared" ref="E10:I10" si="0">SUM(E6:E9)</f>
        <v>925444</v>
      </c>
      <c r="F10" s="59">
        <f t="shared" si="0"/>
        <v>234570</v>
      </c>
      <c r="G10" s="59">
        <f t="shared" si="0"/>
        <v>473663</v>
      </c>
      <c r="H10" s="59">
        <f t="shared" si="0"/>
        <v>716227</v>
      </c>
      <c r="I10" s="59">
        <f t="shared" si="0"/>
        <v>960266</v>
      </c>
      <c r="J10" s="59">
        <f t="shared" ref="J10:Q10" si="1">SUM(J6:J9)</f>
        <v>242618</v>
      </c>
      <c r="K10" s="59">
        <f t="shared" si="1"/>
        <v>486607</v>
      </c>
      <c r="L10" s="59">
        <f t="shared" si="1"/>
        <v>736771.6053177549</v>
      </c>
      <c r="M10" s="59">
        <f t="shared" si="1"/>
        <v>991329</v>
      </c>
      <c r="N10" s="59">
        <f t="shared" si="1"/>
        <v>254640.71000000002</v>
      </c>
      <c r="O10" s="59">
        <f t="shared" si="1"/>
        <v>518858</v>
      </c>
      <c r="P10" s="59">
        <f t="shared" si="1"/>
        <v>794075.97667591798</v>
      </c>
      <c r="Q10" s="59">
        <f t="shared" si="1"/>
        <v>1076705</v>
      </c>
      <c r="R10" s="60">
        <f t="shared" ref="R10" si="2">SUM(R6:R9)</f>
        <v>283397</v>
      </c>
      <c r="S10" s="61">
        <f>+R10/N10-1</f>
        <v>0.11292887928249962</v>
      </c>
    </row>
    <row r="11" spans="2:24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24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2:24" x14ac:dyDescent="0.25">
      <c r="B13" s="53"/>
      <c r="D13" s="54"/>
      <c r="E13" s="179" t="s">
        <v>54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</row>
    <row r="14" spans="2:24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188</v>
      </c>
      <c r="K14" s="17" t="s">
        <v>212</v>
      </c>
      <c r="L14" s="17" t="s">
        <v>216</v>
      </c>
      <c r="M14" s="17" t="s">
        <v>218</v>
      </c>
      <c r="N14" s="17" t="s">
        <v>220</v>
      </c>
      <c r="O14" s="17" t="s">
        <v>223</v>
      </c>
      <c r="P14" s="17" t="s">
        <v>226</v>
      </c>
      <c r="Q14" s="17" t="s">
        <v>228</v>
      </c>
      <c r="R14" s="18" t="s">
        <v>230</v>
      </c>
      <c r="S14" s="55" t="s">
        <v>0</v>
      </c>
    </row>
    <row r="15" spans="2:24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6">
        <v>612487.58698000002</v>
      </c>
      <c r="M15" s="56">
        <v>826194</v>
      </c>
      <c r="N15" s="56">
        <v>213599.31</v>
      </c>
      <c r="O15" s="56">
        <v>446998</v>
      </c>
      <c r="P15" s="56">
        <v>684746.33151000016</v>
      </c>
      <c r="Q15" s="56">
        <v>924049</v>
      </c>
      <c r="R15" s="57">
        <v>236141</v>
      </c>
      <c r="S15" s="58">
        <f>+R15/N15-1</f>
        <v>0.10553259746016974</v>
      </c>
      <c r="U15" s="62"/>
      <c r="V15" s="62"/>
      <c r="W15" s="62"/>
      <c r="X15" s="62"/>
    </row>
    <row r="16" spans="2:24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6">
        <v>117010.78094000001</v>
      </c>
      <c r="M16" s="56">
        <v>157858</v>
      </c>
      <c r="N16" s="56">
        <v>42393.61</v>
      </c>
      <c r="O16" s="56">
        <v>84519</v>
      </c>
      <c r="P16" s="56">
        <v>125558.24246999998</v>
      </c>
      <c r="Q16" s="56">
        <v>167842</v>
      </c>
      <c r="R16" s="57">
        <v>43483</v>
      </c>
      <c r="S16" s="58">
        <f>+R16/N16-1</f>
        <v>2.5697033114188583E-2</v>
      </c>
      <c r="U16" s="62"/>
      <c r="V16" s="62"/>
      <c r="W16" s="62"/>
      <c r="X16" s="62"/>
    </row>
    <row r="17" spans="2:24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6">
        <v>26772.181279999993</v>
      </c>
      <c r="M17" s="56">
        <v>33860</v>
      </c>
      <c r="N17" s="56">
        <v>17829.830000000002</v>
      </c>
      <c r="O17" s="56">
        <v>24598</v>
      </c>
      <c r="P17" s="56">
        <v>30505.179729999996</v>
      </c>
      <c r="Q17" s="56">
        <v>38833</v>
      </c>
      <c r="R17" s="57">
        <v>21405</v>
      </c>
      <c r="S17" s="58">
        <f>+R17/N17-1</f>
        <v>0.20051621355896265</v>
      </c>
      <c r="U17" s="62"/>
      <c r="V17" s="62"/>
      <c r="W17" s="62"/>
      <c r="X17" s="62"/>
    </row>
    <row r="18" spans="2:24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6">
        <v>1358.5527999999997</v>
      </c>
      <c r="M18" s="56">
        <v>1694</v>
      </c>
      <c r="N18" s="56">
        <v>1375.08</v>
      </c>
      <c r="O18" s="56">
        <v>2104</v>
      </c>
      <c r="P18" s="56">
        <v>3004.6632899999995</v>
      </c>
      <c r="Q18" s="56">
        <v>3946</v>
      </c>
      <c r="R18" s="57">
        <v>2200</v>
      </c>
      <c r="S18" s="58">
        <f>+R18/N18-1</f>
        <v>0.59990691450679234</v>
      </c>
      <c r="U18" s="62"/>
      <c r="V18" s="62"/>
      <c r="W18" s="62"/>
      <c r="X18" s="62"/>
    </row>
    <row r="19" spans="2:24" ht="15" thickBot="1" x14ac:dyDescent="0.3">
      <c r="B19" s="53"/>
      <c r="D19" s="42" t="s">
        <v>1</v>
      </c>
      <c r="E19" s="59">
        <f t="shared" ref="E19:I19" si="3">SUM(E15:E18)</f>
        <v>946679</v>
      </c>
      <c r="F19" s="59">
        <f t="shared" si="3"/>
        <v>244209</v>
      </c>
      <c r="G19" s="59">
        <f t="shared" si="3"/>
        <v>491947</v>
      </c>
      <c r="H19" s="59">
        <f t="shared" si="3"/>
        <v>731945</v>
      </c>
      <c r="I19" s="59">
        <f t="shared" si="3"/>
        <v>973281</v>
      </c>
      <c r="J19" s="59">
        <f t="shared" ref="J19:Q19" si="4">SUM(J15:J18)</f>
        <v>251419</v>
      </c>
      <c r="K19" s="59">
        <f t="shared" si="4"/>
        <v>503900</v>
      </c>
      <c r="L19" s="59">
        <f t="shared" si="4"/>
        <v>757629.10199999996</v>
      </c>
      <c r="M19" s="59">
        <f t="shared" si="4"/>
        <v>1019606</v>
      </c>
      <c r="N19" s="59">
        <f t="shared" si="4"/>
        <v>275197.83</v>
      </c>
      <c r="O19" s="59">
        <f t="shared" si="4"/>
        <v>558219</v>
      </c>
      <c r="P19" s="59">
        <f t="shared" si="4"/>
        <v>843814.41700000013</v>
      </c>
      <c r="Q19" s="59">
        <f t="shared" si="4"/>
        <v>1134670</v>
      </c>
      <c r="R19" s="60">
        <f t="shared" ref="R19" si="5">SUM(R15:R18)</f>
        <v>303229</v>
      </c>
      <c r="S19" s="61">
        <f>+R19/N19-1</f>
        <v>0.10185825229799228</v>
      </c>
      <c r="U19" s="62"/>
      <c r="V19" s="62"/>
      <c r="W19" s="62"/>
      <c r="X19" s="62"/>
    </row>
    <row r="20" spans="2:24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2" spans="2:24" x14ac:dyDescent="0.25">
      <c r="D22" s="54"/>
      <c r="E22" s="179" t="s">
        <v>215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</row>
    <row r="23" spans="2:24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188</v>
      </c>
      <c r="K23" s="17" t="s">
        <v>212</v>
      </c>
      <c r="L23" s="17" t="s">
        <v>216</v>
      </c>
      <c r="M23" s="17" t="s">
        <v>218</v>
      </c>
      <c r="N23" s="17" t="s">
        <v>220</v>
      </c>
      <c r="O23" s="17" t="s">
        <v>223</v>
      </c>
      <c r="P23" s="17" t="s">
        <v>226</v>
      </c>
      <c r="Q23" s="17" t="s">
        <v>228</v>
      </c>
      <c r="R23" s="18" t="s">
        <v>230</v>
      </c>
      <c r="S23" s="65" t="s">
        <v>0</v>
      </c>
    </row>
    <row r="24" spans="2:24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6">
        <v>2484431</v>
      </c>
      <c r="M24" s="56">
        <v>2514371</v>
      </c>
      <c r="N24" s="56">
        <v>2564245</v>
      </c>
      <c r="O24" s="56">
        <v>2626269</v>
      </c>
      <c r="P24" s="56">
        <v>2679576</v>
      </c>
      <c r="Q24" s="56">
        <v>2729536</v>
      </c>
      <c r="R24" s="57">
        <v>2789748</v>
      </c>
      <c r="S24" s="58">
        <f>+R24/N24-1</f>
        <v>8.794128486162589E-2</v>
      </c>
    </row>
    <row r="25" spans="2:24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6">
        <v>731544</v>
      </c>
      <c r="M25" s="56">
        <v>738995</v>
      </c>
      <c r="N25" s="56">
        <v>750886</v>
      </c>
      <c r="O25" s="56">
        <v>759867</v>
      </c>
      <c r="P25" s="56">
        <v>769090</v>
      </c>
      <c r="Q25" s="56">
        <v>776208</v>
      </c>
      <c r="R25" s="57">
        <v>784306</v>
      </c>
      <c r="S25" s="58">
        <f>+R25/N25-1</f>
        <v>4.4507421898930088E-2</v>
      </c>
    </row>
    <row r="26" spans="2:24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6">
        <v>117503</v>
      </c>
      <c r="M26" s="56">
        <v>121408</v>
      </c>
      <c r="N26" s="56">
        <v>116278</v>
      </c>
      <c r="O26" s="56">
        <v>116149</v>
      </c>
      <c r="P26" s="56">
        <v>118340</v>
      </c>
      <c r="Q26" s="56">
        <v>127338</v>
      </c>
      <c r="R26" s="57">
        <v>126444</v>
      </c>
      <c r="S26" s="58">
        <f>+R26/N26-1</f>
        <v>8.7428404341320043E-2</v>
      </c>
    </row>
    <row r="27" spans="2:24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3544</v>
      </c>
      <c r="J27" s="56">
        <v>12284</v>
      </c>
      <c r="K27" s="56">
        <v>27663</v>
      </c>
      <c r="L27" s="56">
        <v>43872</v>
      </c>
      <c r="M27" s="56">
        <v>60019</v>
      </c>
      <c r="N27" s="56">
        <v>68669</v>
      </c>
      <c r="O27" s="56">
        <v>76716</v>
      </c>
      <c r="P27" s="56">
        <v>84680</v>
      </c>
      <c r="Q27" s="56">
        <v>92111</v>
      </c>
      <c r="R27" s="57">
        <v>96436</v>
      </c>
      <c r="S27" s="58">
        <f>+R27/N27-1</f>
        <v>0.4043600460178538</v>
      </c>
    </row>
    <row r="28" spans="2:24" ht="15" thickBot="1" x14ac:dyDescent="0.3">
      <c r="D28" s="42" t="s">
        <v>1</v>
      </c>
      <c r="E28" s="59">
        <f t="shared" ref="E28:I28" si="6">SUM(E24:E27)</f>
        <v>3462976</v>
      </c>
      <c r="F28" s="59">
        <f t="shared" si="6"/>
        <v>3471010</v>
      </c>
      <c r="G28" s="59">
        <f t="shared" si="6"/>
        <v>3419707</v>
      </c>
      <c r="H28" s="59">
        <f t="shared" si="6"/>
        <v>3359876</v>
      </c>
      <c r="I28" s="59">
        <f t="shared" si="6"/>
        <v>3318654</v>
      </c>
      <c r="J28" s="59">
        <f t="shared" ref="J28:Q28" si="7">SUM(J24:J27)</f>
        <v>3315917</v>
      </c>
      <c r="K28" s="59">
        <f t="shared" si="7"/>
        <v>3337879</v>
      </c>
      <c r="L28" s="59">
        <f t="shared" si="7"/>
        <v>3377350</v>
      </c>
      <c r="M28" s="59">
        <f t="shared" si="7"/>
        <v>3434793</v>
      </c>
      <c r="N28" s="59">
        <f t="shared" si="7"/>
        <v>3500078</v>
      </c>
      <c r="O28" s="59">
        <f t="shared" si="7"/>
        <v>3579001</v>
      </c>
      <c r="P28" s="59">
        <f t="shared" si="7"/>
        <v>3651686</v>
      </c>
      <c r="Q28" s="59">
        <f t="shared" si="7"/>
        <v>3725193</v>
      </c>
      <c r="R28" s="60">
        <f t="shared" ref="R28" si="8">SUM(R24:R27)</f>
        <v>3796934</v>
      </c>
      <c r="S28" s="61">
        <f>+R28/N28-1</f>
        <v>8.4814109856980346E-2</v>
      </c>
    </row>
    <row r="31" spans="2:24" x14ac:dyDescent="0.25">
      <c r="D31" s="54"/>
      <c r="E31" s="179" t="s">
        <v>56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  <row r="32" spans="2:24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188</v>
      </c>
      <c r="K32" s="17" t="s">
        <v>212</v>
      </c>
      <c r="L32" s="17" t="s">
        <v>216</v>
      </c>
      <c r="M32" s="17" t="s">
        <v>218</v>
      </c>
      <c r="N32" s="17" t="s">
        <v>220</v>
      </c>
      <c r="O32" s="17" t="s">
        <v>223</v>
      </c>
      <c r="P32" s="17" t="s">
        <v>226</v>
      </c>
      <c r="Q32" s="17" t="s">
        <v>228</v>
      </c>
      <c r="R32" s="18" t="s">
        <v>230</v>
      </c>
      <c r="S32" s="65" t="s">
        <v>0</v>
      </c>
    </row>
    <row r="33" spans="4:19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6">
        <v>26991.698508643443</v>
      </c>
      <c r="M33" s="56">
        <v>41354</v>
      </c>
      <c r="N33" s="56">
        <v>16627.259999999998</v>
      </c>
      <c r="O33" s="56">
        <v>33508</v>
      </c>
      <c r="P33" s="56">
        <v>41912.806479855499</v>
      </c>
      <c r="Q33" s="56">
        <v>62396</v>
      </c>
      <c r="R33" s="57">
        <v>19739</v>
      </c>
      <c r="S33" s="58">
        <f>+R33/N33-1</f>
        <v>0.18714689010696905</v>
      </c>
    </row>
    <row r="34" spans="4:19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6">
        <v>11306.372366829473</v>
      </c>
      <c r="M34" s="56">
        <v>17425</v>
      </c>
      <c r="N34" s="56">
        <v>3862.32</v>
      </c>
      <c r="O34" s="56">
        <v>8618</v>
      </c>
      <c r="P34" s="56">
        <v>13887.434563541592</v>
      </c>
      <c r="Q34" s="56">
        <v>20457</v>
      </c>
      <c r="R34" s="57">
        <v>4270</v>
      </c>
      <c r="S34" s="58">
        <f>+R34/N34-1</f>
        <v>0.10555313904596186</v>
      </c>
    </row>
    <row r="35" spans="4:19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6">
        <v>-5369.9744485634956</v>
      </c>
      <c r="M35" s="56">
        <v>-7221</v>
      </c>
      <c r="N35" s="56">
        <v>-1580.21</v>
      </c>
      <c r="O35" s="56">
        <v>-3264</v>
      </c>
      <c r="P35" s="56">
        <v>-4595.7560979563668</v>
      </c>
      <c r="Q35" s="56">
        <v>-5352</v>
      </c>
      <c r="R35" s="57">
        <v>-1343</v>
      </c>
      <c r="S35" s="58">
        <f>+R35/N35-1</f>
        <v>-0.15011295966991733</v>
      </c>
    </row>
    <row r="36" spans="4:19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6">
        <v>-75.776652496000793</v>
      </c>
      <c r="M36" s="56">
        <v>-332</v>
      </c>
      <c r="N36" s="56">
        <v>188.79</v>
      </c>
      <c r="O36" s="56">
        <v>-118</v>
      </c>
      <c r="P36" s="56">
        <v>-165.2914519720014</v>
      </c>
      <c r="Q36" s="56">
        <v>-79</v>
      </c>
      <c r="R36" s="57">
        <v>263</v>
      </c>
      <c r="S36" s="58">
        <f>+R36/N36-1</f>
        <v>0.3930822607129616</v>
      </c>
    </row>
    <row r="37" spans="4:19" ht="15" thickBot="1" x14ac:dyDescent="0.3">
      <c r="D37" s="42" t="s">
        <v>1</v>
      </c>
      <c r="E37" s="59">
        <f t="shared" ref="E37:I37" si="9">SUM(E33:E36)</f>
        <v>37130</v>
      </c>
      <c r="F37" s="59">
        <f t="shared" si="9"/>
        <v>-15627</v>
      </c>
      <c r="G37" s="59">
        <f t="shared" si="9"/>
        <v>-36535</v>
      </c>
      <c r="H37" s="59">
        <f t="shared" si="9"/>
        <v>-41743</v>
      </c>
      <c r="I37" s="59">
        <f t="shared" si="9"/>
        <v>-38225</v>
      </c>
      <c r="J37" s="59">
        <f t="shared" ref="J37:Q37" si="10">SUM(J33:J36)</f>
        <v>6311</v>
      </c>
      <c r="K37" s="59">
        <f t="shared" si="10"/>
        <v>21587</v>
      </c>
      <c r="L37" s="59">
        <f t="shared" si="10"/>
        <v>32852.319774413416</v>
      </c>
      <c r="M37" s="59">
        <f t="shared" si="10"/>
        <v>51226</v>
      </c>
      <c r="N37" s="59">
        <f t="shared" si="10"/>
        <v>19098.16</v>
      </c>
      <c r="O37" s="59">
        <f t="shared" si="10"/>
        <v>38744</v>
      </c>
      <c r="P37" s="59">
        <f t="shared" si="10"/>
        <v>51039.193493468731</v>
      </c>
      <c r="Q37" s="59">
        <f t="shared" si="10"/>
        <v>77422</v>
      </c>
      <c r="R37" s="60">
        <f t="shared" ref="R37" si="11">SUM(R33:R36)</f>
        <v>22929</v>
      </c>
      <c r="S37" s="61">
        <f>+R37/N37-1</f>
        <v>0.20058686281819815</v>
      </c>
    </row>
    <row r="40" spans="4:19" x14ac:dyDescent="0.25">
      <c r="D40" s="54"/>
      <c r="E40" s="179" t="s">
        <v>55</v>
      </c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</row>
    <row r="41" spans="4:19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188</v>
      </c>
      <c r="K41" s="17" t="s">
        <v>212</v>
      </c>
      <c r="L41" s="17" t="s">
        <v>216</v>
      </c>
      <c r="M41" s="17" t="s">
        <v>218</v>
      </c>
      <c r="N41" s="17" t="s">
        <v>220</v>
      </c>
      <c r="O41" s="17" t="s">
        <v>223</v>
      </c>
      <c r="P41" s="17" t="s">
        <v>226</v>
      </c>
      <c r="Q41" s="17" t="s">
        <v>228</v>
      </c>
      <c r="R41" s="18" t="s">
        <v>230</v>
      </c>
      <c r="S41" s="66" t="s">
        <v>13</v>
      </c>
    </row>
    <row r="42" spans="4:19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7">
        <v>0.95456472478207199</v>
      </c>
      <c r="M42" s="67">
        <v>0.94824202616309627</v>
      </c>
      <c r="N42" s="67">
        <v>0.91868390270630962</v>
      </c>
      <c r="O42" s="67">
        <v>0.91963399131748735</v>
      </c>
      <c r="P42" s="67">
        <v>0.93439519580816011</v>
      </c>
      <c r="Q42" s="67">
        <v>0.9280493908021854</v>
      </c>
      <c r="R42" s="68">
        <v>0.91371193012672836</v>
      </c>
      <c r="S42" s="69">
        <f>(R42-N42)*100</f>
        <v>-0.4971972579581263</v>
      </c>
    </row>
    <row r="43" spans="4:19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7">
        <v>0.89781120356249633</v>
      </c>
      <c r="M43" s="67">
        <v>0.88313996378512505</v>
      </c>
      <c r="N43" s="67">
        <v>0.89911275161929938</v>
      </c>
      <c r="O43" s="67">
        <v>0.88900194484872685</v>
      </c>
      <c r="P43" s="67">
        <v>0.88241339852864586</v>
      </c>
      <c r="Q43" s="67">
        <v>0.87138087783163898</v>
      </c>
      <c r="R43" s="68">
        <v>0.89403677693128514</v>
      </c>
      <c r="S43" s="69">
        <f>(R43-N43)*100</f>
        <v>-0.50759746880142398</v>
      </c>
    </row>
    <row r="44" spans="4:19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7">
        <v>1.4046634009423897</v>
      </c>
      <c r="M44" s="67">
        <v>1.4031375614113444</v>
      </c>
      <c r="N44" s="67">
        <v>1.3320975900905161</v>
      </c>
      <c r="O44" s="67">
        <v>1.337155252556554</v>
      </c>
      <c r="P44" s="67">
        <v>1.309583924994794</v>
      </c>
      <c r="Q44" s="67">
        <v>1.257480996824786</v>
      </c>
      <c r="R44" s="68">
        <v>1.2422382671480143</v>
      </c>
      <c r="S44" s="69">
        <f>(R44-N44)*100</f>
        <v>-8.9859322942501763</v>
      </c>
    </row>
    <row r="45" spans="4:19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7">
        <v>1.1061154086099847</v>
      </c>
      <c r="M45" s="67">
        <v>1.3048668503213956</v>
      </c>
      <c r="N45" s="67">
        <v>0.65828581772106076</v>
      </c>
      <c r="O45" s="67">
        <v>1.106019766397125</v>
      </c>
      <c r="P45" s="67">
        <v>1.0929253785418018</v>
      </c>
      <c r="Q45" s="67">
        <v>1.0309197651663404</v>
      </c>
      <c r="R45" s="68">
        <v>0.71722643553629473</v>
      </c>
      <c r="S45" s="69">
        <f>(R45-N45)*100</f>
        <v>5.894061781523396</v>
      </c>
    </row>
    <row r="46" spans="4:19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0">
        <v>0.95428896094897686</v>
      </c>
      <c r="M46" s="70">
        <v>0.94703127601207315</v>
      </c>
      <c r="N46" s="70">
        <v>0.92301336503175457</v>
      </c>
      <c r="O46" s="70">
        <v>0.92333461953241724</v>
      </c>
      <c r="P46" s="70">
        <v>0.93402341212761519</v>
      </c>
      <c r="Q46" s="70">
        <v>0.92603652102995615</v>
      </c>
      <c r="R46" s="71">
        <v>0.91678190456487263</v>
      </c>
      <c r="S46" s="72">
        <f>(R46-N46)*100</f>
        <v>-0.6231460466881944</v>
      </c>
    </row>
    <row r="47" spans="4:19" x14ac:dyDescent="0.25">
      <c r="E47" s="63"/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</row>
    <row r="48" spans="4:19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 t="s">
        <v>47</v>
      </c>
    </row>
  </sheetData>
  <mergeCells count="5">
    <mergeCell ref="E13:S13"/>
    <mergeCell ref="E31:S31"/>
    <mergeCell ref="E40:S40"/>
    <mergeCell ref="E4:S4"/>
    <mergeCell ref="E22:S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2" width="11" style="73" hidden="1" customWidth="1" outlineLevel="1" collapsed="1"/>
    <col min="13" max="13" width="11" style="73" customWidth="1" collapsed="1"/>
    <col min="14" max="14" width="11" style="73" customWidth="1"/>
    <col min="15" max="16" width="11" style="73" hidden="1" customWidth="1" outlineLevel="1"/>
    <col min="17" max="17" width="11" style="73" customWidth="1" collapsed="1"/>
    <col min="18" max="19" width="11" style="73" customWidth="1"/>
    <col min="20" max="20" width="3" style="13" customWidth="1"/>
    <col min="21" max="16384" width="10.85546875" style="73"/>
  </cols>
  <sheetData>
    <row r="1" spans="2:33" ht="16.5" customHeight="1" x14ac:dyDescent="0.2"/>
    <row r="2" spans="2:33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44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47" t="s">
        <v>228</v>
      </c>
      <c r="R4" s="74" t="s">
        <v>230</v>
      </c>
      <c r="S4" s="75" t="s">
        <v>0</v>
      </c>
      <c r="T4" s="13"/>
      <c r="U4" s="47" t="s">
        <v>62</v>
      </c>
      <c r="V4" s="47" t="s">
        <v>63</v>
      </c>
      <c r="W4" s="47" t="s">
        <v>64</v>
      </c>
      <c r="X4" s="47" t="s">
        <v>65</v>
      </c>
      <c r="Y4" s="47" t="s">
        <v>189</v>
      </c>
      <c r="Z4" s="47" t="s">
        <v>213</v>
      </c>
      <c r="AA4" s="47" t="s">
        <v>217</v>
      </c>
      <c r="AB4" s="47" t="s">
        <v>219</v>
      </c>
      <c r="AC4" s="47" t="s">
        <v>221</v>
      </c>
      <c r="AD4" s="47" t="s">
        <v>224</v>
      </c>
      <c r="AE4" s="47" t="s">
        <v>227</v>
      </c>
      <c r="AF4" s="47" t="s">
        <v>229</v>
      </c>
      <c r="AG4" s="74" t="s">
        <v>232</v>
      </c>
    </row>
    <row r="5" spans="2:33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6">
        <v>612487.58698000002</v>
      </c>
      <c r="M5" s="76">
        <v>826194</v>
      </c>
      <c r="N5" s="76">
        <v>213599.31</v>
      </c>
      <c r="O5" s="76">
        <v>446998</v>
      </c>
      <c r="P5" s="76">
        <v>684746.33151000016</v>
      </c>
      <c r="Q5" s="76">
        <v>924049</v>
      </c>
      <c r="R5" s="77">
        <v>236141</v>
      </c>
      <c r="S5" s="78">
        <f t="shared" ref="S5:S11" si="0">+R5/N5-1</f>
        <v>0.10553259746016974</v>
      </c>
      <c r="U5" s="76">
        <f>F5</f>
        <v>191526</v>
      </c>
      <c r="V5" s="76">
        <f t="shared" ref="V5:X10" si="1">G5-F5</f>
        <v>204581</v>
      </c>
      <c r="W5" s="76">
        <f t="shared" si="1"/>
        <v>199132</v>
      </c>
      <c r="X5" s="76">
        <f t="shared" si="1"/>
        <v>197445</v>
      </c>
      <c r="Y5" s="76">
        <f>J5</f>
        <v>195771</v>
      </c>
      <c r="Z5" s="76">
        <f>K5-J5</f>
        <v>206812</v>
      </c>
      <c r="AA5" s="76">
        <f>L5-K5</f>
        <v>209904.58698000002</v>
      </c>
      <c r="AB5" s="76">
        <f>M5-L5</f>
        <v>213706.41301999998</v>
      </c>
      <c r="AC5" s="76">
        <f>N5</f>
        <v>213599.31</v>
      </c>
      <c r="AD5" s="76">
        <f t="shared" ref="AD5:AD10" si="2">O5-N5</f>
        <v>233398.69</v>
      </c>
      <c r="AE5" s="76">
        <f t="shared" ref="AE5:AF10" si="3">P5-O5</f>
        <v>237748.33151000016</v>
      </c>
      <c r="AF5" s="76">
        <f t="shared" si="3"/>
        <v>239302.66848999984</v>
      </c>
      <c r="AG5" s="77">
        <f>R5</f>
        <v>236141</v>
      </c>
    </row>
    <row r="6" spans="2:33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6">
        <v>594069.21998775494</v>
      </c>
      <c r="M6" s="76">
        <v>798988</v>
      </c>
      <c r="N6" s="76">
        <v>204476.98</v>
      </c>
      <c r="O6" s="76">
        <v>416930</v>
      </c>
      <c r="P6" s="76">
        <v>638867.94566591806</v>
      </c>
      <c r="Q6" s="76">
        <v>867206</v>
      </c>
      <c r="R6" s="77">
        <v>228757</v>
      </c>
      <c r="S6" s="78">
        <f t="shared" si="0"/>
        <v>0.11874207062330444</v>
      </c>
      <c r="U6" s="76">
        <f t="shared" ref="U6:U10" si="4">F6</f>
        <v>189991</v>
      </c>
      <c r="V6" s="76">
        <f t="shared" si="1"/>
        <v>193683</v>
      </c>
      <c r="W6" s="76">
        <f t="shared" si="1"/>
        <v>196427</v>
      </c>
      <c r="X6" s="76">
        <f t="shared" si="1"/>
        <v>197534</v>
      </c>
      <c r="Y6" s="76">
        <f t="shared" ref="Y6:Y10" si="5">J6</f>
        <v>195871</v>
      </c>
      <c r="Z6" s="76">
        <f t="shared" ref="Z6:AA10" si="6">K6-J6</f>
        <v>196642</v>
      </c>
      <c r="AA6" s="76">
        <f t="shared" si="6"/>
        <v>201556.21998775494</v>
      </c>
      <c r="AB6" s="76">
        <f t="shared" ref="AB6:AB10" si="7">M6-L6</f>
        <v>204918.78001224506</v>
      </c>
      <c r="AC6" s="76">
        <f t="shared" ref="AC6:AC10" si="8">N6</f>
        <v>204476.98</v>
      </c>
      <c r="AD6" s="76">
        <f t="shared" si="2"/>
        <v>212453.02</v>
      </c>
      <c r="AE6" s="76">
        <f t="shared" si="3"/>
        <v>221937.94566591806</v>
      </c>
      <c r="AF6" s="76">
        <f t="shared" si="3"/>
        <v>228338.05433408194</v>
      </c>
      <c r="AG6" s="77">
        <f t="shared" ref="AG6:AG10" si="9">R6</f>
        <v>228757</v>
      </c>
    </row>
    <row r="7" spans="2:33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6">
        <v>-448475.55080736522</v>
      </c>
      <c r="M7" s="56">
        <v>-596949</v>
      </c>
      <c r="N7" s="56">
        <v>-148834.79999999999</v>
      </c>
      <c r="O7" s="56">
        <v>-303393</v>
      </c>
      <c r="P7" s="56">
        <v>-474722.08191300713</v>
      </c>
      <c r="Q7" s="56">
        <v>-639413</v>
      </c>
      <c r="R7" s="57">
        <v>-169843</v>
      </c>
      <c r="S7" s="79">
        <f t="shared" si="0"/>
        <v>0.1411511286338949</v>
      </c>
      <c r="U7" s="56">
        <f t="shared" si="4"/>
        <v>-163096</v>
      </c>
      <c r="V7" s="56">
        <f t="shared" si="1"/>
        <v>-179372</v>
      </c>
      <c r="W7" s="56">
        <f t="shared" si="1"/>
        <v>-159703</v>
      </c>
      <c r="X7" s="56">
        <f t="shared" si="1"/>
        <v>-150695</v>
      </c>
      <c r="Y7" s="56">
        <f t="shared" si="5"/>
        <v>-148667</v>
      </c>
      <c r="Z7" s="56">
        <f t="shared" si="6"/>
        <v>-147685</v>
      </c>
      <c r="AA7" s="56">
        <f t="shared" si="6"/>
        <v>-152123.55080736522</v>
      </c>
      <c r="AB7" s="56">
        <f t="shared" si="7"/>
        <v>-148473.44919263478</v>
      </c>
      <c r="AC7" s="56">
        <f t="shared" si="8"/>
        <v>-148834.79999999999</v>
      </c>
      <c r="AD7" s="56">
        <f t="shared" si="2"/>
        <v>-154558.20000000001</v>
      </c>
      <c r="AE7" s="56">
        <f t="shared" si="3"/>
        <v>-171329.08191300713</v>
      </c>
      <c r="AF7" s="56">
        <f t="shared" si="3"/>
        <v>-164690.91808699287</v>
      </c>
      <c r="AG7" s="57">
        <f t="shared" si="9"/>
        <v>-169843</v>
      </c>
    </row>
    <row r="8" spans="2:33" s="10" customFormat="1" x14ac:dyDescent="0.25">
      <c r="D8" s="48" t="s">
        <v>59</v>
      </c>
      <c r="E8" s="56">
        <f>SUM(E9:E10)</f>
        <v>-156735</v>
      </c>
      <c r="F8" s="56">
        <f t="shared" ref="F8:M8" si="10">SUM(F9:F10)</f>
        <v>-39906</v>
      </c>
      <c r="G8" s="56">
        <f t="shared" si="10"/>
        <v>-76428</v>
      </c>
      <c r="H8" s="56">
        <f t="shared" si="10"/>
        <v>-116299</v>
      </c>
      <c r="I8" s="56">
        <f t="shared" si="10"/>
        <v>-159676</v>
      </c>
      <c r="J8" s="56">
        <f t="shared" si="10"/>
        <v>-40258</v>
      </c>
      <c r="K8" s="56">
        <f t="shared" si="10"/>
        <v>-79019</v>
      </c>
      <c r="L8" s="56">
        <f t="shared" si="10"/>
        <v>-118601.97067174633</v>
      </c>
      <c r="M8" s="56">
        <f t="shared" si="10"/>
        <v>-160685</v>
      </c>
      <c r="N8" s="56">
        <f t="shared" ref="N8:O8" si="11">SUM(N9:N10)</f>
        <v>-39014.910000000003</v>
      </c>
      <c r="O8" s="56">
        <f t="shared" si="11"/>
        <v>-80030</v>
      </c>
      <c r="P8" s="56">
        <f t="shared" ref="P8:Q8" si="12">SUM(P9:P10)</f>
        <v>-122233.05727305535</v>
      </c>
      <c r="Q8" s="56">
        <f t="shared" si="12"/>
        <v>-165397</v>
      </c>
      <c r="R8" s="57">
        <f t="shared" ref="R8" si="13">SUM(R9:R10)</f>
        <v>-39175</v>
      </c>
      <c r="S8" s="79">
        <f t="shared" si="0"/>
        <v>4.1033030705439621E-3</v>
      </c>
      <c r="U8" s="56">
        <f t="shared" si="4"/>
        <v>-39906</v>
      </c>
      <c r="V8" s="56">
        <f t="shared" si="1"/>
        <v>-36522</v>
      </c>
      <c r="W8" s="56">
        <f t="shared" si="1"/>
        <v>-39871</v>
      </c>
      <c r="X8" s="56">
        <f t="shared" si="1"/>
        <v>-43377</v>
      </c>
      <c r="Y8" s="56">
        <f t="shared" si="5"/>
        <v>-40258</v>
      </c>
      <c r="Z8" s="56">
        <f t="shared" si="6"/>
        <v>-38761</v>
      </c>
      <c r="AA8" s="56">
        <f t="shared" si="6"/>
        <v>-39582.970671746327</v>
      </c>
      <c r="AB8" s="56">
        <f t="shared" si="7"/>
        <v>-42083.029328253673</v>
      </c>
      <c r="AC8" s="56">
        <f t="shared" si="8"/>
        <v>-39014.910000000003</v>
      </c>
      <c r="AD8" s="56">
        <f t="shared" si="2"/>
        <v>-41015.089999999997</v>
      </c>
      <c r="AE8" s="56">
        <f t="shared" si="3"/>
        <v>-42203.057273055354</v>
      </c>
      <c r="AF8" s="56">
        <f t="shared" si="3"/>
        <v>-43163.942726944646</v>
      </c>
      <c r="AG8" s="57">
        <f t="shared" si="9"/>
        <v>-39175</v>
      </c>
    </row>
    <row r="9" spans="2:33" s="10" customFormat="1" x14ac:dyDescent="0.25">
      <c r="D9" s="169" t="s">
        <v>178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6">
        <v>-100892.07393362201</v>
      </c>
      <c r="M9" s="56">
        <v>-136902</v>
      </c>
      <c r="N9" s="56">
        <v>-32432.52</v>
      </c>
      <c r="O9" s="56">
        <v>-67588</v>
      </c>
      <c r="P9" s="56">
        <v>-103760.21012671839</v>
      </c>
      <c r="Q9" s="56">
        <v>-141103</v>
      </c>
      <c r="R9" s="57">
        <v>-32658</v>
      </c>
      <c r="S9" s="79">
        <f t="shared" si="0"/>
        <v>6.9522812288407287E-3</v>
      </c>
      <c r="U9" s="56">
        <f t="shared" si="4"/>
        <v>-34237</v>
      </c>
      <c r="V9" s="56">
        <f t="shared" si="1"/>
        <v>-30398</v>
      </c>
      <c r="W9" s="56">
        <f t="shared" si="1"/>
        <v>-33849</v>
      </c>
      <c r="X9" s="56">
        <f t="shared" si="1"/>
        <v>-37128</v>
      </c>
      <c r="Y9" s="56">
        <f t="shared" si="5"/>
        <v>-34798</v>
      </c>
      <c r="Z9" s="56">
        <f t="shared" si="6"/>
        <v>-32436</v>
      </c>
      <c r="AA9" s="56">
        <f t="shared" si="6"/>
        <v>-33658.073933622014</v>
      </c>
      <c r="AB9" s="56">
        <f t="shared" si="7"/>
        <v>-36009.926066377986</v>
      </c>
      <c r="AC9" s="56">
        <f t="shared" si="8"/>
        <v>-32432.52</v>
      </c>
      <c r="AD9" s="56">
        <f t="shared" si="2"/>
        <v>-35155.479999999996</v>
      </c>
      <c r="AE9" s="56">
        <f t="shared" si="3"/>
        <v>-36172.21012671839</v>
      </c>
      <c r="AF9" s="56">
        <f t="shared" si="3"/>
        <v>-37342.78987328161</v>
      </c>
      <c r="AG9" s="57">
        <f t="shared" si="9"/>
        <v>-32658</v>
      </c>
    </row>
    <row r="10" spans="2:33" s="10" customFormat="1" ht="15" thickBot="1" x14ac:dyDescent="0.3">
      <c r="D10" s="169" t="s">
        <v>214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6">
        <v>-17709.896738124316</v>
      </c>
      <c r="M10" s="56">
        <v>-23783</v>
      </c>
      <c r="N10" s="56">
        <v>-6582.39</v>
      </c>
      <c r="O10" s="56">
        <v>-12442</v>
      </c>
      <c r="P10" s="56">
        <v>-18472.847146336964</v>
      </c>
      <c r="Q10" s="56">
        <v>-24294</v>
      </c>
      <c r="R10" s="57">
        <v>-6517</v>
      </c>
      <c r="S10" s="79">
        <f t="shared" si="0"/>
        <v>-9.9340816937313337E-3</v>
      </c>
      <c r="U10" s="56">
        <f t="shared" si="4"/>
        <v>-5669</v>
      </c>
      <c r="V10" s="56">
        <f t="shared" si="1"/>
        <v>-6124</v>
      </c>
      <c r="W10" s="56">
        <f t="shared" si="1"/>
        <v>-6022</v>
      </c>
      <c r="X10" s="56">
        <f t="shared" si="1"/>
        <v>-6249</v>
      </c>
      <c r="Y10" s="56">
        <f t="shared" si="5"/>
        <v>-5460</v>
      </c>
      <c r="Z10" s="56">
        <f t="shared" si="6"/>
        <v>-6325</v>
      </c>
      <c r="AA10" s="56">
        <f t="shared" si="6"/>
        <v>-5924.8967381243165</v>
      </c>
      <c r="AB10" s="56">
        <f t="shared" si="7"/>
        <v>-6073.1032618756835</v>
      </c>
      <c r="AC10" s="56">
        <f t="shared" si="8"/>
        <v>-6582.39</v>
      </c>
      <c r="AD10" s="56">
        <f t="shared" si="2"/>
        <v>-5859.61</v>
      </c>
      <c r="AE10" s="56">
        <f t="shared" si="3"/>
        <v>-6030.8471463369642</v>
      </c>
      <c r="AF10" s="56">
        <f t="shared" si="3"/>
        <v>-5821.1528536630358</v>
      </c>
      <c r="AG10" s="57">
        <f t="shared" si="9"/>
        <v>-6517</v>
      </c>
    </row>
    <row r="11" spans="2:33" s="10" customFormat="1" ht="15" thickBot="1" x14ac:dyDescent="0.3">
      <c r="D11" s="42" t="s">
        <v>56</v>
      </c>
      <c r="E11" s="59">
        <f t="shared" ref="E11:Q11" si="14">SUM(E6,E7,E8)</f>
        <v>37662</v>
      </c>
      <c r="F11" s="59">
        <f t="shared" si="14"/>
        <v>-13011</v>
      </c>
      <c r="G11" s="59">
        <f t="shared" si="14"/>
        <v>-35222</v>
      </c>
      <c r="H11" s="59">
        <f t="shared" si="14"/>
        <v>-38369</v>
      </c>
      <c r="I11" s="59">
        <f t="shared" si="14"/>
        <v>-34907</v>
      </c>
      <c r="J11" s="59">
        <f t="shared" si="14"/>
        <v>6946</v>
      </c>
      <c r="K11" s="59">
        <f t="shared" si="14"/>
        <v>17142</v>
      </c>
      <c r="L11" s="59">
        <f t="shared" si="14"/>
        <v>26991.6985086434</v>
      </c>
      <c r="M11" s="59">
        <f t="shared" si="14"/>
        <v>41354</v>
      </c>
      <c r="N11" s="59">
        <f t="shared" si="14"/>
        <v>16627.270000000019</v>
      </c>
      <c r="O11" s="59">
        <f t="shared" si="14"/>
        <v>33507</v>
      </c>
      <c r="P11" s="59">
        <f t="shared" si="14"/>
        <v>41912.806479855572</v>
      </c>
      <c r="Q11" s="59">
        <f t="shared" si="14"/>
        <v>62396</v>
      </c>
      <c r="R11" s="60">
        <f t="shared" ref="R11" si="15">SUM(R6,R7,R8)</f>
        <v>19739</v>
      </c>
      <c r="S11" s="80">
        <f t="shared" si="0"/>
        <v>0.18714617613113749</v>
      </c>
      <c r="U11" s="59">
        <f>SUM(U6,U7,U8)</f>
        <v>-13011</v>
      </c>
      <c r="V11" s="59">
        <f>SUM(V6,V7,V8)</f>
        <v>-22211</v>
      </c>
      <c r="W11" s="59">
        <f>SUM(W6,W7,W8)</f>
        <v>-3147</v>
      </c>
      <c r="X11" s="59">
        <f>SUM(X6,X7,X8)</f>
        <v>3462</v>
      </c>
      <c r="Y11" s="59">
        <f>SUM(Y6,Y7,Y8)</f>
        <v>6946</v>
      </c>
      <c r="Z11" s="59">
        <f t="shared" ref="Z11:AB11" si="16">SUM(Z6,Z7,Z8)</f>
        <v>10196</v>
      </c>
      <c r="AA11" s="59">
        <f t="shared" si="16"/>
        <v>9849.6985086433997</v>
      </c>
      <c r="AB11" s="59">
        <f t="shared" si="16"/>
        <v>14362.3014913566</v>
      </c>
      <c r="AC11" s="59">
        <f>SUM(AC6,AC7,AC8)</f>
        <v>16627.270000000019</v>
      </c>
      <c r="AD11" s="59">
        <f>SUM(AD6,AD7,AD8)</f>
        <v>16879.729999999981</v>
      </c>
      <c r="AE11" s="59">
        <f>SUM(AE6,AE7,AE8)</f>
        <v>8405.8064798555715</v>
      </c>
      <c r="AF11" s="59">
        <f>SUM(AF6,AF7,AF8)</f>
        <v>20483.193520144428</v>
      </c>
      <c r="AG11" s="60">
        <f>SUM(AG6,AG7,AG8)</f>
        <v>19739</v>
      </c>
    </row>
    <row r="12" spans="2:33" s="10" customFormat="1" ht="9" customHeight="1" x14ac:dyDescent="0.25">
      <c r="D12" s="33"/>
      <c r="E12" s="45"/>
      <c r="F12" s="45"/>
      <c r="G12" s="45"/>
      <c r="H12" s="45"/>
      <c r="I12" s="45"/>
      <c r="J12" s="45"/>
      <c r="K12" s="170"/>
      <c r="L12" s="170"/>
      <c r="M12" s="170"/>
      <c r="N12" s="170"/>
      <c r="O12" s="170"/>
      <c r="P12" s="170"/>
      <c r="Q12" s="170"/>
      <c r="R12" s="49"/>
      <c r="S12" s="49"/>
      <c r="T12" s="13"/>
    </row>
    <row r="13" spans="2:33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27"/>
      <c r="S13" s="27" t="s">
        <v>46</v>
      </c>
      <c r="T13" s="13"/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46</v>
      </c>
    </row>
    <row r="14" spans="2:33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13"/>
    </row>
    <row r="15" spans="2:33" s="10" customFormat="1" x14ac:dyDescent="0.25">
      <c r="D15" s="33"/>
      <c r="E15" s="45"/>
      <c r="F15" s="45"/>
      <c r="G15" s="45"/>
      <c r="H15" s="45"/>
      <c r="I15" s="45"/>
      <c r="J15" s="45"/>
      <c r="K15" s="170"/>
      <c r="L15" s="170"/>
      <c r="M15" s="170"/>
      <c r="N15" s="170"/>
      <c r="O15" s="170"/>
      <c r="P15" s="170"/>
      <c r="Q15" s="170"/>
      <c r="R15" s="49"/>
      <c r="S15" s="49"/>
      <c r="T15" s="13"/>
    </row>
    <row r="16" spans="2:33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47" t="s">
        <v>228</v>
      </c>
      <c r="R16" s="74" t="s">
        <v>230</v>
      </c>
      <c r="S16" s="82" t="s">
        <v>2</v>
      </c>
      <c r="T16" s="13"/>
      <c r="U16" s="47" t="s">
        <v>62</v>
      </c>
      <c r="V16" s="47" t="s">
        <v>63</v>
      </c>
      <c r="W16" s="47" t="s">
        <v>64</v>
      </c>
      <c r="X16" s="47" t="s">
        <v>65</v>
      </c>
      <c r="Y16" s="47" t="s">
        <v>189</v>
      </c>
      <c r="Z16" s="47" t="s">
        <v>213</v>
      </c>
      <c r="AA16" s="47" t="s">
        <v>217</v>
      </c>
      <c r="AB16" s="47" t="s">
        <v>219</v>
      </c>
      <c r="AC16" s="47" t="s">
        <v>221</v>
      </c>
      <c r="AD16" s="47" t="s">
        <v>224</v>
      </c>
      <c r="AE16" s="47" t="s">
        <v>227</v>
      </c>
      <c r="AF16" s="47" t="s">
        <v>229</v>
      </c>
      <c r="AG16" s="74" t="s">
        <v>232</v>
      </c>
    </row>
    <row r="17" spans="4:33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Q17" si="17">-J7/J6</f>
        <v>0.75900465102031434</v>
      </c>
      <c r="K17" s="49">
        <f t="shared" si="17"/>
        <v>0.75501193591040294</v>
      </c>
      <c r="L17" s="49">
        <f t="shared" si="17"/>
        <v>0.75492137232191436</v>
      </c>
      <c r="M17" s="49">
        <f t="shared" si="17"/>
        <v>0.74713137118454842</v>
      </c>
      <c r="N17" s="49">
        <f t="shared" si="17"/>
        <v>0.72788046850065946</v>
      </c>
      <c r="O17" s="49">
        <f t="shared" si="17"/>
        <v>0.72768330415177607</v>
      </c>
      <c r="P17" s="49">
        <f t="shared" si="17"/>
        <v>0.74306761692071588</v>
      </c>
      <c r="Q17" s="49">
        <f t="shared" si="17"/>
        <v>0.73732538750885024</v>
      </c>
      <c r="R17" s="50">
        <f t="shared" ref="R17" si="18">-R7/R6</f>
        <v>0.74246034001145322</v>
      </c>
      <c r="S17" s="69">
        <f>(R17-N17)*100</f>
        <v>1.4579871510793763</v>
      </c>
      <c r="U17" s="49">
        <f t="shared" ref="U17:Y17" si="19">-U7/U6</f>
        <v>0.85844066297877264</v>
      </c>
      <c r="V17" s="49">
        <f t="shared" si="19"/>
        <v>0.92611122297775228</v>
      </c>
      <c r="W17" s="49">
        <f t="shared" si="19"/>
        <v>0.81303995886512548</v>
      </c>
      <c r="X17" s="49">
        <f t="shared" si="19"/>
        <v>0.76288132675893772</v>
      </c>
      <c r="Y17" s="49">
        <f t="shared" si="19"/>
        <v>0.75900465102031434</v>
      </c>
      <c r="Z17" s="49">
        <f t="shared" ref="Z17:AF17" si="20">-Z7/Z6</f>
        <v>0.75103487556066351</v>
      </c>
      <c r="AA17" s="49">
        <f t="shared" si="20"/>
        <v>0.7547450077035931</v>
      </c>
      <c r="AB17" s="49">
        <f t="shared" si="20"/>
        <v>0.72454779002570024</v>
      </c>
      <c r="AC17" s="49">
        <f t="shared" si="20"/>
        <v>0.72788046850065946</v>
      </c>
      <c r="AD17" s="49">
        <f t="shared" si="20"/>
        <v>0.7274935418663383</v>
      </c>
      <c r="AE17" s="49">
        <f t="shared" si="20"/>
        <v>0.77196840494733532</v>
      </c>
      <c r="AF17" s="49">
        <f t="shared" si="20"/>
        <v>0.7212591811176301</v>
      </c>
      <c r="AG17" s="50">
        <f t="shared" ref="AG17" si="21">-AG7/AG6</f>
        <v>0.74246034001145322</v>
      </c>
    </row>
    <row r="18" spans="4:33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Q18" si="22">-J8/J6</f>
        <v>0.20553323360783374</v>
      </c>
      <c r="K18" s="49">
        <f t="shared" si="22"/>
        <v>0.20131562521496105</v>
      </c>
      <c r="L18" s="49">
        <f t="shared" si="22"/>
        <v>0.19964335246015771</v>
      </c>
      <c r="M18" s="49">
        <f t="shared" si="22"/>
        <v>0.20111065497854785</v>
      </c>
      <c r="N18" s="49">
        <f t="shared" si="22"/>
        <v>0.19080343420564996</v>
      </c>
      <c r="O18" s="49">
        <f t="shared" si="22"/>
        <v>0.19195068716571126</v>
      </c>
      <c r="P18" s="49">
        <f t="shared" si="22"/>
        <v>0.1913275788874442</v>
      </c>
      <c r="Q18" s="49">
        <f t="shared" si="22"/>
        <v>0.19072400329333514</v>
      </c>
      <c r="R18" s="50">
        <f t="shared" ref="R18" si="23">-R8/R6</f>
        <v>0.17125159011527516</v>
      </c>
      <c r="S18" s="69">
        <f>(R18-N18)*100</f>
        <v>-1.9551844090374804</v>
      </c>
      <c r="U18" s="49">
        <f t="shared" ref="U18:Y18" si="24">-U8/U6</f>
        <v>0.21004152828291867</v>
      </c>
      <c r="V18" s="49">
        <f t="shared" si="24"/>
        <v>0.18856585244962129</v>
      </c>
      <c r="W18" s="49">
        <f t="shared" si="24"/>
        <v>0.20298126021371807</v>
      </c>
      <c r="X18" s="49">
        <f t="shared" si="24"/>
        <v>0.21959257646784858</v>
      </c>
      <c r="Y18" s="49">
        <f t="shared" si="24"/>
        <v>0.20553323360783374</v>
      </c>
      <c r="Z18" s="49">
        <f t="shared" ref="Z18:AF18" si="25">-Z8/Z6</f>
        <v>0.19711455335075925</v>
      </c>
      <c r="AA18" s="49">
        <f t="shared" si="25"/>
        <v>0.19638674844244991</v>
      </c>
      <c r="AB18" s="49">
        <f t="shared" si="25"/>
        <v>0.20536443426873308</v>
      </c>
      <c r="AC18" s="49">
        <f t="shared" si="25"/>
        <v>0.19080343420564996</v>
      </c>
      <c r="AD18" s="49">
        <f t="shared" si="25"/>
        <v>0.19305486926003687</v>
      </c>
      <c r="AE18" s="49">
        <f t="shared" si="25"/>
        <v>0.19015701504502244</v>
      </c>
      <c r="AF18" s="49">
        <f t="shared" si="25"/>
        <v>0.18903525675046429</v>
      </c>
      <c r="AG18" s="50">
        <f t="shared" ref="AG18" si="26">-AG8/AG6</f>
        <v>0.17125159011527516</v>
      </c>
    </row>
    <row r="19" spans="4:33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Q19" si="27">-(J7+J8)/J6</f>
        <v>0.96453788462814816</v>
      </c>
      <c r="K19" s="51">
        <f t="shared" si="27"/>
        <v>0.95632756112536399</v>
      </c>
      <c r="L19" s="51">
        <f t="shared" si="27"/>
        <v>0.9545647247820721</v>
      </c>
      <c r="M19" s="51">
        <f t="shared" si="27"/>
        <v>0.94824202616309627</v>
      </c>
      <c r="N19" s="51">
        <f t="shared" si="27"/>
        <v>0.9186839027063094</v>
      </c>
      <c r="O19" s="51">
        <f t="shared" si="27"/>
        <v>0.91963399131748735</v>
      </c>
      <c r="P19" s="51">
        <f t="shared" si="27"/>
        <v>0.93439519580816011</v>
      </c>
      <c r="Q19" s="51">
        <f t="shared" si="27"/>
        <v>0.9280493908021854</v>
      </c>
      <c r="R19" s="52">
        <f t="shared" ref="R19" si="28">-(R7+R8)/R6</f>
        <v>0.91371193012672836</v>
      </c>
      <c r="S19" s="83">
        <f>(R19-N19)*100</f>
        <v>-0.4971972579581041</v>
      </c>
      <c r="U19" s="51">
        <f t="shared" ref="U19:Y19" si="29">-(U7+U8)/U6</f>
        <v>1.0684821912616913</v>
      </c>
      <c r="V19" s="51">
        <f t="shared" si="29"/>
        <v>1.1146770754273736</v>
      </c>
      <c r="W19" s="51">
        <f t="shared" si="29"/>
        <v>1.0160212190788436</v>
      </c>
      <c r="X19" s="51">
        <f t="shared" si="29"/>
        <v>0.98247390322678629</v>
      </c>
      <c r="Y19" s="51">
        <f t="shared" si="29"/>
        <v>0.96453788462814816</v>
      </c>
      <c r="Z19" s="51">
        <f t="shared" ref="Z19:AF19" si="30">-(Z7+Z8)/Z6</f>
        <v>0.94814942891142284</v>
      </c>
      <c r="AA19" s="51">
        <f t="shared" si="30"/>
        <v>0.95113175614604306</v>
      </c>
      <c r="AB19" s="51">
        <f t="shared" si="30"/>
        <v>0.92991222429443332</v>
      </c>
      <c r="AC19" s="51">
        <f t="shared" si="30"/>
        <v>0.9186839027063094</v>
      </c>
      <c r="AD19" s="51">
        <f t="shared" si="30"/>
        <v>0.9205484111263752</v>
      </c>
      <c r="AE19" s="51">
        <f t="shared" si="30"/>
        <v>0.96212541999235779</v>
      </c>
      <c r="AF19" s="51">
        <f t="shared" si="30"/>
        <v>0.91029443786809427</v>
      </c>
      <c r="AG19" s="52">
        <f t="shared" ref="AG19" si="31">-(AG7+AG8)/AG6</f>
        <v>0.91371193012672836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1" width="11" style="73" hidden="1" customWidth="1" outlineLevel="1"/>
    <col min="12" max="12" width="11" style="73" hidden="1" customWidth="1" outlineLevel="1" collapsed="1"/>
    <col min="13" max="13" width="11" style="73" customWidth="1" collapsed="1"/>
    <col min="14" max="14" width="11" style="73" customWidth="1"/>
    <col min="15" max="16" width="11" style="73" hidden="1" customWidth="1" outlineLevel="1"/>
    <col min="17" max="17" width="11" style="73" customWidth="1" collapsed="1"/>
    <col min="18" max="19" width="11" style="73" customWidth="1"/>
    <col min="20" max="20" width="3" style="13" customWidth="1"/>
    <col min="21" max="16384" width="10.85546875" style="73"/>
  </cols>
  <sheetData>
    <row r="1" spans="2:33" ht="16.5" customHeight="1" x14ac:dyDescent="0.2"/>
    <row r="2" spans="2:33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44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47" t="s">
        <v>228</v>
      </c>
      <c r="R4" s="74" t="s">
        <v>230</v>
      </c>
      <c r="S4" s="75" t="s">
        <v>0</v>
      </c>
      <c r="T4" s="13"/>
      <c r="U4" s="47" t="s">
        <v>62</v>
      </c>
      <c r="V4" s="47" t="s">
        <v>63</v>
      </c>
      <c r="W4" s="47" t="s">
        <v>64</v>
      </c>
      <c r="X4" s="47" t="s">
        <v>65</v>
      </c>
      <c r="Y4" s="47" t="s">
        <v>189</v>
      </c>
      <c r="Z4" s="47" t="s">
        <v>213</v>
      </c>
      <c r="AA4" s="47" t="s">
        <v>217</v>
      </c>
      <c r="AB4" s="47" t="s">
        <v>219</v>
      </c>
      <c r="AC4" s="47" t="s">
        <v>221</v>
      </c>
      <c r="AD4" s="47" t="s">
        <v>224</v>
      </c>
      <c r="AE4" s="47" t="s">
        <v>227</v>
      </c>
      <c r="AF4" s="47" t="s">
        <v>229</v>
      </c>
      <c r="AG4" s="74" t="s">
        <v>232</v>
      </c>
    </row>
    <row r="5" spans="2:33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6">
        <v>117010.78094000001</v>
      </c>
      <c r="M5" s="76">
        <v>157858</v>
      </c>
      <c r="N5" s="76">
        <v>42393.61</v>
      </c>
      <c r="O5" s="76">
        <v>84519</v>
      </c>
      <c r="P5" s="76">
        <v>125558.24246999998</v>
      </c>
      <c r="Q5" s="76">
        <v>167842</v>
      </c>
      <c r="R5" s="77">
        <v>43483</v>
      </c>
      <c r="S5" s="78">
        <f t="shared" ref="S5:S11" si="0">+R5/N5-1</f>
        <v>2.5697033114188583E-2</v>
      </c>
      <c r="U5" s="76">
        <f>F5</f>
        <v>37607</v>
      </c>
      <c r="V5" s="76">
        <f t="shared" ref="V5:X10" si="1">G5-F5</f>
        <v>37676</v>
      </c>
      <c r="W5" s="76">
        <f t="shared" si="1"/>
        <v>36321</v>
      </c>
      <c r="X5" s="76">
        <f t="shared" si="1"/>
        <v>37826</v>
      </c>
      <c r="Y5" s="76">
        <f>J5</f>
        <v>39270</v>
      </c>
      <c r="Z5" s="76">
        <f t="shared" ref="Z5:AB10" si="2">K5-J5</f>
        <v>39358</v>
      </c>
      <c r="AA5" s="76">
        <f t="shared" si="2"/>
        <v>38382.780940000011</v>
      </c>
      <c r="AB5" s="76">
        <f t="shared" si="2"/>
        <v>40847.219059999989</v>
      </c>
      <c r="AC5" s="76">
        <f>N5</f>
        <v>42393.61</v>
      </c>
      <c r="AD5" s="76">
        <f t="shared" ref="AD5:AD10" si="3">O5-N5</f>
        <v>42125.39</v>
      </c>
      <c r="AE5" s="76">
        <f t="shared" ref="AE5:AF10" si="4">P5-O5</f>
        <v>41039.242469999983</v>
      </c>
      <c r="AF5" s="76">
        <f t="shared" si="4"/>
        <v>42283.757530000017</v>
      </c>
      <c r="AG5" s="77">
        <f>R5</f>
        <v>43483</v>
      </c>
    </row>
    <row r="6" spans="2:33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6">
        <v>110641.99560999995</v>
      </c>
      <c r="M6" s="76">
        <v>149110</v>
      </c>
      <c r="N6" s="76">
        <v>38283.53</v>
      </c>
      <c r="O6" s="76">
        <v>77641</v>
      </c>
      <c r="P6" s="76">
        <v>118103.88589999995</v>
      </c>
      <c r="Q6" s="76">
        <v>159051</v>
      </c>
      <c r="R6" s="77">
        <v>40297</v>
      </c>
      <c r="S6" s="78">
        <f t="shared" si="0"/>
        <v>5.2593634912976972E-2</v>
      </c>
      <c r="U6" s="76">
        <f t="shared" ref="U6:U10" si="5">F6</f>
        <v>34434</v>
      </c>
      <c r="V6" s="76">
        <f t="shared" si="1"/>
        <v>35408</v>
      </c>
      <c r="W6" s="76">
        <f t="shared" si="1"/>
        <v>35914</v>
      </c>
      <c r="X6" s="76">
        <f t="shared" si="1"/>
        <v>36200</v>
      </c>
      <c r="Y6" s="76">
        <f t="shared" ref="Y6:Y10" si="6">J6</f>
        <v>35991</v>
      </c>
      <c r="Z6" s="76">
        <f t="shared" si="2"/>
        <v>36869</v>
      </c>
      <c r="AA6" s="76">
        <f t="shared" si="2"/>
        <v>37781.995609999954</v>
      </c>
      <c r="AB6" s="76">
        <f t="shared" si="2"/>
        <v>38468.004390000046</v>
      </c>
      <c r="AC6" s="76">
        <f t="shared" ref="AC6:AC10" si="7">N6</f>
        <v>38283.53</v>
      </c>
      <c r="AD6" s="76">
        <f t="shared" si="3"/>
        <v>39357.47</v>
      </c>
      <c r="AE6" s="76">
        <f t="shared" si="4"/>
        <v>40462.88589999995</v>
      </c>
      <c r="AF6" s="76">
        <f t="shared" si="4"/>
        <v>40947.11410000005</v>
      </c>
      <c r="AG6" s="77">
        <f t="shared" ref="AG6:AG10" si="8">R6</f>
        <v>40297</v>
      </c>
    </row>
    <row r="7" spans="2:33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6">
        <v>-67900.998515756481</v>
      </c>
      <c r="M7" s="56">
        <v>-90039</v>
      </c>
      <c r="N7" s="56">
        <v>-24030.17</v>
      </c>
      <c r="O7" s="56">
        <v>-47757</v>
      </c>
      <c r="P7" s="56">
        <v>-72178.375016486258</v>
      </c>
      <c r="Q7" s="56">
        <v>-96281</v>
      </c>
      <c r="R7" s="57">
        <v>-25495</v>
      </c>
      <c r="S7" s="79">
        <f t="shared" si="0"/>
        <v>6.0957954105193668E-2</v>
      </c>
      <c r="U7" s="56">
        <f t="shared" si="5"/>
        <v>-25797</v>
      </c>
      <c r="V7" s="56">
        <f t="shared" si="1"/>
        <v>-20063</v>
      </c>
      <c r="W7" s="56">
        <f t="shared" si="1"/>
        <v>-25196</v>
      </c>
      <c r="X7" s="56">
        <f t="shared" si="1"/>
        <v>-23065</v>
      </c>
      <c r="Y7" s="56">
        <f t="shared" si="6"/>
        <v>-24877</v>
      </c>
      <c r="Z7" s="56">
        <f t="shared" si="2"/>
        <v>-19081</v>
      </c>
      <c r="AA7" s="56">
        <f t="shared" si="2"/>
        <v>-23942.998515756481</v>
      </c>
      <c r="AB7" s="56">
        <f t="shared" si="2"/>
        <v>-22138.001484243519</v>
      </c>
      <c r="AC7" s="56">
        <f t="shared" si="7"/>
        <v>-24030.17</v>
      </c>
      <c r="AD7" s="56">
        <f t="shared" si="3"/>
        <v>-23726.83</v>
      </c>
      <c r="AE7" s="56">
        <f t="shared" si="4"/>
        <v>-24421.375016486258</v>
      </c>
      <c r="AF7" s="56">
        <f t="shared" si="4"/>
        <v>-24102.624983513742</v>
      </c>
      <c r="AG7" s="57">
        <f t="shared" si="8"/>
        <v>-25495</v>
      </c>
    </row>
    <row r="8" spans="2:33" s="10" customFormat="1" x14ac:dyDescent="0.25">
      <c r="D8" s="48" t="s">
        <v>59</v>
      </c>
      <c r="E8" s="56">
        <f t="shared" ref="E8:I8" si="9">SUM(E9:E10)</f>
        <v>-42224</v>
      </c>
      <c r="F8" s="56">
        <f t="shared" si="9"/>
        <v>-9153</v>
      </c>
      <c r="G8" s="56">
        <f t="shared" si="9"/>
        <v>-20863</v>
      </c>
      <c r="H8" s="56">
        <f t="shared" si="9"/>
        <v>-31305</v>
      </c>
      <c r="I8" s="56">
        <f t="shared" si="9"/>
        <v>-41833</v>
      </c>
      <c r="J8" s="56">
        <f>SUM(J9:J10)</f>
        <v>-9895</v>
      </c>
      <c r="K8" s="56">
        <f>SUM(K9:K10)</f>
        <v>-20709</v>
      </c>
      <c r="L8" s="56">
        <f>SUM(L9:L10)</f>
        <v>-31434.624727414001</v>
      </c>
      <c r="M8" s="56">
        <f>SUM(M9:M10)</f>
        <v>-41646</v>
      </c>
      <c r="N8" s="56">
        <f t="shared" ref="N8:O8" si="10">SUM(N9:N10)</f>
        <v>-10391.040000000001</v>
      </c>
      <c r="O8" s="56">
        <f t="shared" si="10"/>
        <v>-21266</v>
      </c>
      <c r="P8" s="56">
        <f t="shared" ref="P8:Q8" si="11">SUM(P9:P10)</f>
        <v>-32038.076319972108</v>
      </c>
      <c r="Q8" s="56">
        <f t="shared" si="11"/>
        <v>-42313</v>
      </c>
      <c r="R8" s="57">
        <f t="shared" ref="R8" si="12">SUM(R9:R10)</f>
        <v>-10532</v>
      </c>
      <c r="S8" s="79">
        <f t="shared" si="0"/>
        <v>1.3565533382606576E-2</v>
      </c>
      <c r="U8" s="56">
        <f t="shared" si="5"/>
        <v>-9153</v>
      </c>
      <c r="V8" s="56">
        <f t="shared" si="1"/>
        <v>-11710</v>
      </c>
      <c r="W8" s="56">
        <f t="shared" si="1"/>
        <v>-10442</v>
      </c>
      <c r="X8" s="56">
        <f t="shared" si="1"/>
        <v>-10528</v>
      </c>
      <c r="Y8" s="56">
        <f t="shared" si="6"/>
        <v>-9895</v>
      </c>
      <c r="Z8" s="56">
        <f t="shared" si="2"/>
        <v>-10814</v>
      </c>
      <c r="AA8" s="56">
        <f t="shared" si="2"/>
        <v>-10725.624727414001</v>
      </c>
      <c r="AB8" s="56">
        <f t="shared" si="2"/>
        <v>-10211.375272585999</v>
      </c>
      <c r="AC8" s="56">
        <f t="shared" si="7"/>
        <v>-10391.040000000001</v>
      </c>
      <c r="AD8" s="56">
        <f t="shared" si="3"/>
        <v>-10874.96</v>
      </c>
      <c r="AE8" s="56">
        <f t="shared" si="4"/>
        <v>-10772.076319972108</v>
      </c>
      <c r="AF8" s="56">
        <f t="shared" si="4"/>
        <v>-10274.923680027892</v>
      </c>
      <c r="AG8" s="57">
        <f t="shared" si="8"/>
        <v>-10532</v>
      </c>
    </row>
    <row r="9" spans="2:33" s="10" customFormat="1" x14ac:dyDescent="0.25">
      <c r="D9" s="169" t="s">
        <v>178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6">
        <v>-26865.183004348</v>
      </c>
      <c r="M9" s="56">
        <v>-35573</v>
      </c>
      <c r="N9" s="56">
        <v>-8903.16</v>
      </c>
      <c r="O9" s="56">
        <v>-18292</v>
      </c>
      <c r="P9" s="56">
        <v>-27559.859868204137</v>
      </c>
      <c r="Q9" s="56">
        <v>-36309</v>
      </c>
      <c r="R9" s="57">
        <v>-8954</v>
      </c>
      <c r="S9" s="79">
        <f t="shared" si="0"/>
        <v>5.7103320618747677E-3</v>
      </c>
      <c r="U9" s="56">
        <f t="shared" si="5"/>
        <v>-7643</v>
      </c>
      <c r="V9" s="56">
        <f t="shared" si="1"/>
        <v>-10233</v>
      </c>
      <c r="W9" s="56">
        <f t="shared" si="1"/>
        <v>-8996</v>
      </c>
      <c r="X9" s="56">
        <f t="shared" si="1"/>
        <v>-9086</v>
      </c>
      <c r="Y9" s="56">
        <f t="shared" si="6"/>
        <v>-8451</v>
      </c>
      <c r="Z9" s="56">
        <f t="shared" si="2"/>
        <v>-9139</v>
      </c>
      <c r="AA9" s="56">
        <f t="shared" si="2"/>
        <v>-9275.1830043480004</v>
      </c>
      <c r="AB9" s="56">
        <f t="shared" si="2"/>
        <v>-8707.8169956519996</v>
      </c>
      <c r="AC9" s="56">
        <f t="shared" si="7"/>
        <v>-8903.16</v>
      </c>
      <c r="AD9" s="56">
        <f t="shared" si="3"/>
        <v>-9388.84</v>
      </c>
      <c r="AE9" s="56">
        <f t="shared" si="4"/>
        <v>-9267.8598682041375</v>
      </c>
      <c r="AF9" s="56">
        <f t="shared" si="4"/>
        <v>-8749.1401317958625</v>
      </c>
      <c r="AG9" s="57">
        <f t="shared" si="8"/>
        <v>-8954</v>
      </c>
    </row>
    <row r="10" spans="2:33" s="10" customFormat="1" ht="15" thickBot="1" x14ac:dyDescent="0.3">
      <c r="D10" s="169" t="s">
        <v>214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6">
        <v>-4569.4417230660001</v>
      </c>
      <c r="M10" s="56">
        <v>-6073</v>
      </c>
      <c r="N10" s="56">
        <v>-1487.88</v>
      </c>
      <c r="O10" s="56">
        <v>-2974</v>
      </c>
      <c r="P10" s="56">
        <v>-4478.2164517679694</v>
      </c>
      <c r="Q10" s="56">
        <v>-6004</v>
      </c>
      <c r="R10" s="57">
        <v>-1578</v>
      </c>
      <c r="S10" s="79">
        <f t="shared" si="0"/>
        <v>6.0569400758125669E-2</v>
      </c>
      <c r="U10" s="56">
        <f t="shared" si="5"/>
        <v>-1510</v>
      </c>
      <c r="V10" s="56">
        <f t="shared" si="1"/>
        <v>-1477</v>
      </c>
      <c r="W10" s="56">
        <f t="shared" si="1"/>
        <v>-1446</v>
      </c>
      <c r="X10" s="56">
        <f t="shared" si="1"/>
        <v>-1442</v>
      </c>
      <c r="Y10" s="56">
        <f t="shared" si="6"/>
        <v>-1444</v>
      </c>
      <c r="Z10" s="56">
        <f t="shared" si="2"/>
        <v>-1675</v>
      </c>
      <c r="AA10" s="56">
        <f t="shared" si="2"/>
        <v>-1450.4417230660001</v>
      </c>
      <c r="AB10" s="56">
        <f t="shared" si="2"/>
        <v>-1503.5582769339999</v>
      </c>
      <c r="AC10" s="56">
        <f t="shared" si="7"/>
        <v>-1487.88</v>
      </c>
      <c r="AD10" s="56">
        <f t="shared" si="3"/>
        <v>-1486.12</v>
      </c>
      <c r="AE10" s="56">
        <f t="shared" si="4"/>
        <v>-1504.2164517679694</v>
      </c>
      <c r="AF10" s="56">
        <f t="shared" si="4"/>
        <v>-1525.7835482320306</v>
      </c>
      <c r="AG10" s="57">
        <f t="shared" si="8"/>
        <v>-1578</v>
      </c>
    </row>
    <row r="11" spans="2:33" s="10" customFormat="1" ht="15" thickBot="1" x14ac:dyDescent="0.3">
      <c r="D11" s="42" t="s">
        <v>56</v>
      </c>
      <c r="E11" s="59">
        <f t="shared" ref="E11:Q11" si="13">SUM(E6,E7,E8)</f>
        <v>7574</v>
      </c>
      <c r="F11" s="59">
        <f t="shared" si="13"/>
        <v>-516</v>
      </c>
      <c r="G11" s="59">
        <f t="shared" si="13"/>
        <v>3119</v>
      </c>
      <c r="H11" s="59">
        <f t="shared" si="13"/>
        <v>3395</v>
      </c>
      <c r="I11" s="59">
        <f t="shared" si="13"/>
        <v>6002</v>
      </c>
      <c r="J11" s="59">
        <f t="shared" si="13"/>
        <v>1219</v>
      </c>
      <c r="K11" s="59">
        <f t="shared" si="13"/>
        <v>8193</v>
      </c>
      <c r="L11" s="59">
        <f t="shared" si="13"/>
        <v>11306.372366829473</v>
      </c>
      <c r="M11" s="59">
        <f t="shared" si="13"/>
        <v>17425</v>
      </c>
      <c r="N11" s="59">
        <f t="shared" si="13"/>
        <v>3862.3199999999997</v>
      </c>
      <c r="O11" s="59">
        <f t="shared" si="13"/>
        <v>8618</v>
      </c>
      <c r="P11" s="59">
        <f t="shared" si="13"/>
        <v>13887.434563541585</v>
      </c>
      <c r="Q11" s="59">
        <f t="shared" si="13"/>
        <v>20457</v>
      </c>
      <c r="R11" s="60">
        <f t="shared" ref="R11" si="14">SUM(R6,R7,R8)</f>
        <v>4270</v>
      </c>
      <c r="S11" s="80">
        <f t="shared" si="0"/>
        <v>0.10555313904596209</v>
      </c>
      <c r="U11" s="59">
        <f>SUM(U6,U7,U8)</f>
        <v>-516</v>
      </c>
      <c r="V11" s="59">
        <f>SUM(V6,V7,V8)</f>
        <v>3635</v>
      </c>
      <c r="W11" s="59">
        <f>SUM(W6,W7,W8)</f>
        <v>276</v>
      </c>
      <c r="X11" s="59">
        <f>SUM(X6,X7,X8)</f>
        <v>2607</v>
      </c>
      <c r="Y11" s="59">
        <f>SUM(Y6,Y7,Y8)</f>
        <v>1219</v>
      </c>
      <c r="Z11" s="59">
        <f t="shared" ref="Z11:AB11" si="15">SUM(Z6,Z7,Z8)</f>
        <v>6974</v>
      </c>
      <c r="AA11" s="59">
        <f t="shared" si="15"/>
        <v>3113.3723668294733</v>
      </c>
      <c r="AB11" s="59">
        <f t="shared" si="15"/>
        <v>6118.6276331705267</v>
      </c>
      <c r="AC11" s="59">
        <f>SUM(AC6,AC7,AC8)</f>
        <v>3862.3199999999997</v>
      </c>
      <c r="AD11" s="59">
        <f>SUM(AD6,AD7,AD8)</f>
        <v>4755.68</v>
      </c>
      <c r="AE11" s="59">
        <f>SUM(AE6,AE7,AE8)</f>
        <v>5269.4345635415848</v>
      </c>
      <c r="AF11" s="59">
        <f>SUM(AF6,AF7,AF8)</f>
        <v>6569.5654364584152</v>
      </c>
      <c r="AG11" s="60">
        <f>SUM(AG6,AG7,AG8)</f>
        <v>4270</v>
      </c>
    </row>
    <row r="12" spans="2:33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9"/>
      <c r="S12" s="49"/>
    </row>
    <row r="13" spans="2:33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27"/>
      <c r="S13" s="27" t="s">
        <v>46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46</v>
      </c>
    </row>
    <row r="14" spans="2:33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2:33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9"/>
      <c r="S15" s="49"/>
    </row>
    <row r="16" spans="2:33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47" t="s">
        <v>228</v>
      </c>
      <c r="R16" s="74" t="s">
        <v>230</v>
      </c>
      <c r="S16" s="82" t="s">
        <v>2</v>
      </c>
      <c r="U16" s="47" t="s">
        <v>62</v>
      </c>
      <c r="V16" s="47" t="s">
        <v>63</v>
      </c>
      <c r="W16" s="47" t="s">
        <v>64</v>
      </c>
      <c r="X16" s="47" t="s">
        <v>65</v>
      </c>
      <c r="Y16" s="47" t="s">
        <v>189</v>
      </c>
      <c r="Z16" s="47" t="s">
        <v>213</v>
      </c>
      <c r="AA16" s="47" t="s">
        <v>217</v>
      </c>
      <c r="AB16" s="47" t="s">
        <v>219</v>
      </c>
      <c r="AC16" s="47" t="s">
        <v>221</v>
      </c>
      <c r="AD16" s="47" t="s">
        <v>224</v>
      </c>
      <c r="AE16" s="47" t="s">
        <v>227</v>
      </c>
      <c r="AF16" s="47" t="s">
        <v>229</v>
      </c>
      <c r="AG16" s="74" t="s">
        <v>232</v>
      </c>
    </row>
    <row r="17" spans="4:33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Q17" si="16">-J7/J6</f>
        <v>0.69120057792225831</v>
      </c>
      <c r="K17" s="49">
        <f t="shared" si="16"/>
        <v>0.60332143837496566</v>
      </c>
      <c r="L17" s="49">
        <f t="shared" si="16"/>
        <v>0.61370005251079829</v>
      </c>
      <c r="M17" s="49">
        <f t="shared" si="16"/>
        <v>0.60384280061699414</v>
      </c>
      <c r="N17" s="49">
        <f t="shared" si="16"/>
        <v>0.62768950512139288</v>
      </c>
      <c r="O17" s="49">
        <f t="shared" si="16"/>
        <v>0.61510026918767147</v>
      </c>
      <c r="P17" s="49">
        <f t="shared" si="16"/>
        <v>0.61114310055471499</v>
      </c>
      <c r="Q17" s="49">
        <f t="shared" si="16"/>
        <v>0.60534671268964046</v>
      </c>
      <c r="R17" s="50">
        <f t="shared" ref="R17" si="17">-R7/R6</f>
        <v>0.63267737052386031</v>
      </c>
      <c r="S17" s="69">
        <f>(R17-N17)*100</f>
        <v>0.49878654024674285</v>
      </c>
      <c r="U17" s="49">
        <f t="shared" ref="U17:Y17" si="18">-U7/U6</f>
        <v>0.74917232967415925</v>
      </c>
      <c r="V17" s="49">
        <f t="shared" si="18"/>
        <v>0.56662336195210117</v>
      </c>
      <c r="W17" s="49">
        <f t="shared" si="18"/>
        <v>0.70156484936236563</v>
      </c>
      <c r="X17" s="49">
        <f t="shared" si="18"/>
        <v>0.63715469613259668</v>
      </c>
      <c r="Y17" s="49">
        <f t="shared" si="18"/>
        <v>0.69120057792225831</v>
      </c>
      <c r="Z17" s="49">
        <f t="shared" ref="Z17:AF17" si="19">-Z7/Z6</f>
        <v>0.5175350565515745</v>
      </c>
      <c r="AA17" s="49">
        <f t="shared" si="19"/>
        <v>0.63371450155532183</v>
      </c>
      <c r="AB17" s="49">
        <f t="shared" si="19"/>
        <v>0.57549129036697333</v>
      </c>
      <c r="AC17" s="49">
        <f t="shared" si="19"/>
        <v>0.62768950512139288</v>
      </c>
      <c r="AD17" s="49">
        <f t="shared" si="19"/>
        <v>0.60285455340498262</v>
      </c>
      <c r="AE17" s="49">
        <f t="shared" si="19"/>
        <v>0.60355000572231277</v>
      </c>
      <c r="AF17" s="49">
        <f t="shared" si="19"/>
        <v>0.58862817351794061</v>
      </c>
      <c r="AG17" s="50">
        <f t="shared" ref="AG17" si="20">-AG7/AG6</f>
        <v>0.63267737052386031</v>
      </c>
    </row>
    <row r="18" spans="4:33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Q18" si="21">-J8/J6</f>
        <v>0.27492984357200412</v>
      </c>
      <c r="K18" s="49">
        <f t="shared" si="21"/>
        <v>0.28423003019489435</v>
      </c>
      <c r="L18" s="49">
        <f t="shared" si="21"/>
        <v>0.28411115105169799</v>
      </c>
      <c r="M18" s="49">
        <f t="shared" si="21"/>
        <v>0.27929716316813091</v>
      </c>
      <c r="N18" s="49">
        <f t="shared" si="21"/>
        <v>0.27142324649790656</v>
      </c>
      <c r="O18" s="49">
        <f t="shared" si="21"/>
        <v>0.27390167566105539</v>
      </c>
      <c r="P18" s="49">
        <f t="shared" si="21"/>
        <v>0.27127029797393076</v>
      </c>
      <c r="Q18" s="49">
        <f t="shared" si="21"/>
        <v>0.26603416514199846</v>
      </c>
      <c r="R18" s="50">
        <f t="shared" ref="R18" si="22">-R8/R6</f>
        <v>0.26135940640742489</v>
      </c>
      <c r="S18" s="69">
        <f>(R18-N18)*100</f>
        <v>-1.0063840090481668</v>
      </c>
      <c r="U18" s="49">
        <f t="shared" ref="U18:Y18" si="23">-U8/U6</f>
        <v>0.26581285938316779</v>
      </c>
      <c r="V18" s="49">
        <f t="shared" si="23"/>
        <v>0.33071622232263898</v>
      </c>
      <c r="W18" s="49">
        <f t="shared" si="23"/>
        <v>0.29075012529932615</v>
      </c>
      <c r="X18" s="49">
        <f t="shared" si="23"/>
        <v>0.29082872928176795</v>
      </c>
      <c r="Y18" s="49">
        <f t="shared" si="23"/>
        <v>0.27492984357200412</v>
      </c>
      <c r="Z18" s="49">
        <f t="shared" ref="Z18:AF18" si="24">-Z8/Z6</f>
        <v>0.29330874176137134</v>
      </c>
      <c r="AA18" s="49">
        <f t="shared" si="24"/>
        <v>0.2838819007372706</v>
      </c>
      <c r="AB18" s="49">
        <f t="shared" si="24"/>
        <v>0.26545113099863582</v>
      </c>
      <c r="AC18" s="49">
        <f t="shared" si="24"/>
        <v>0.27142324649790656</v>
      </c>
      <c r="AD18" s="49">
        <f t="shared" si="24"/>
        <v>0.2763124763863124</v>
      </c>
      <c r="AE18" s="49">
        <f t="shared" si="24"/>
        <v>0.26622115749712555</v>
      </c>
      <c r="AF18" s="49">
        <f t="shared" si="24"/>
        <v>0.25093157126860571</v>
      </c>
      <c r="AG18" s="50">
        <f t="shared" ref="AG18" si="25">-AG8/AG6</f>
        <v>0.26135940640742489</v>
      </c>
    </row>
    <row r="19" spans="4:33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Q19" si="26">-(J7+J8)/J6</f>
        <v>0.96613042149426243</v>
      </c>
      <c r="K19" s="51">
        <f t="shared" si="26"/>
        <v>0.88755146856986</v>
      </c>
      <c r="L19" s="51">
        <f t="shared" si="26"/>
        <v>0.89781120356249622</v>
      </c>
      <c r="M19" s="51">
        <f t="shared" si="26"/>
        <v>0.88313996378512505</v>
      </c>
      <c r="N19" s="51">
        <f t="shared" si="26"/>
        <v>0.89911275161929949</v>
      </c>
      <c r="O19" s="51">
        <f t="shared" si="26"/>
        <v>0.88900194484872685</v>
      </c>
      <c r="P19" s="51">
        <f t="shared" si="26"/>
        <v>0.88241339852864586</v>
      </c>
      <c r="Q19" s="51">
        <f t="shared" si="26"/>
        <v>0.87138087783163887</v>
      </c>
      <c r="R19" s="52">
        <f t="shared" ref="R19" si="27">-(R7+R8)/R6</f>
        <v>0.89403677693128525</v>
      </c>
      <c r="S19" s="83">
        <f>(R19-N19)*100</f>
        <v>-0.50759746880142398</v>
      </c>
      <c r="U19" s="51">
        <f t="shared" ref="U19:Y19" si="28">-(U7+U8)/U6</f>
        <v>1.0149851890573272</v>
      </c>
      <c r="V19" s="51">
        <f t="shared" si="28"/>
        <v>0.89733958427474014</v>
      </c>
      <c r="W19" s="51">
        <f t="shared" si="28"/>
        <v>0.99231497466169183</v>
      </c>
      <c r="X19" s="51">
        <f t="shared" si="28"/>
        <v>0.92798342541436463</v>
      </c>
      <c r="Y19" s="51">
        <f t="shared" si="28"/>
        <v>0.96613042149426243</v>
      </c>
      <c r="Z19" s="51">
        <f t="shared" ref="Z19:AF19" si="29">-(Z7+Z8)/Z6</f>
        <v>0.81084379831294584</v>
      </c>
      <c r="AA19" s="51">
        <f t="shared" si="29"/>
        <v>0.91759640229259254</v>
      </c>
      <c r="AB19" s="51">
        <f t="shared" si="29"/>
        <v>0.84094242136560915</v>
      </c>
      <c r="AC19" s="51">
        <f t="shared" si="29"/>
        <v>0.89911275161929949</v>
      </c>
      <c r="AD19" s="51">
        <f t="shared" si="29"/>
        <v>0.87916702979129502</v>
      </c>
      <c r="AE19" s="51">
        <f t="shared" si="29"/>
        <v>0.86977116321943837</v>
      </c>
      <c r="AF19" s="51">
        <f t="shared" si="29"/>
        <v>0.83955974478654627</v>
      </c>
      <c r="AG19" s="52">
        <f t="shared" ref="AG19" si="30">-(AG7+AG8)/AG6</f>
        <v>0.89403677693128525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8" width="11" style="73" hidden="1" customWidth="1" outlineLevel="1"/>
    <col min="9" max="9" width="11" style="73" customWidth="1" collapsed="1"/>
    <col min="10" max="11" width="11" style="73" hidden="1" customWidth="1" outlineLevel="1"/>
    <col min="12" max="12" width="11" style="73" hidden="1" customWidth="1" outlineLevel="1" collapsed="1"/>
    <col min="13" max="13" width="11" style="73" customWidth="1" collapsed="1"/>
    <col min="14" max="14" width="11" style="73" customWidth="1"/>
    <col min="15" max="16" width="11" style="73" hidden="1" customWidth="1" outlineLevel="1"/>
    <col min="17" max="17" width="11" style="73" customWidth="1" collapsed="1"/>
    <col min="18" max="19" width="11" style="73" customWidth="1"/>
    <col min="20" max="20" width="3" style="13" customWidth="1"/>
    <col min="21" max="16384" width="10.85546875" style="73"/>
  </cols>
  <sheetData>
    <row r="1" spans="2:33" ht="16.5" customHeight="1" x14ac:dyDescent="0.2"/>
    <row r="2" spans="2:33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44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47" t="s">
        <v>228</v>
      </c>
      <c r="R4" s="74" t="s">
        <v>230</v>
      </c>
      <c r="S4" s="75" t="s">
        <v>0</v>
      </c>
      <c r="T4" s="13"/>
      <c r="U4" s="47" t="s">
        <v>62</v>
      </c>
      <c r="V4" s="47" t="s">
        <v>63</v>
      </c>
      <c r="W4" s="47" t="s">
        <v>64</v>
      </c>
      <c r="X4" s="47" t="s">
        <v>65</v>
      </c>
      <c r="Y4" s="47" t="s">
        <v>189</v>
      </c>
      <c r="Z4" s="47" t="s">
        <v>213</v>
      </c>
      <c r="AA4" s="47" t="s">
        <v>217</v>
      </c>
      <c r="AB4" s="47" t="s">
        <v>219</v>
      </c>
      <c r="AC4" s="47" t="s">
        <v>221</v>
      </c>
      <c r="AD4" s="47" t="s">
        <v>224</v>
      </c>
      <c r="AE4" s="47" t="s">
        <v>227</v>
      </c>
      <c r="AF4" s="47" t="s">
        <v>229</v>
      </c>
      <c r="AG4" s="74" t="s">
        <v>232</v>
      </c>
    </row>
    <row r="5" spans="2:33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6">
        <v>26772.181279999993</v>
      </c>
      <c r="M5" s="76">
        <v>33860</v>
      </c>
      <c r="N5" s="76">
        <v>17829.830000000002</v>
      </c>
      <c r="O5" s="76">
        <v>24598</v>
      </c>
      <c r="P5" s="76">
        <v>30505.179729999996</v>
      </c>
      <c r="Q5" s="76">
        <v>38833</v>
      </c>
      <c r="R5" s="77">
        <v>21405</v>
      </c>
      <c r="S5" s="78">
        <f t="shared" ref="S5:S11" si="0">+R5/N5-1</f>
        <v>0.20051621355896265</v>
      </c>
      <c r="U5" s="76">
        <f>F5</f>
        <v>14335</v>
      </c>
      <c r="V5" s="76">
        <f t="shared" ref="V5:X10" si="1">G5-F5</f>
        <v>5468</v>
      </c>
      <c r="W5" s="76">
        <f t="shared" si="1"/>
        <v>4532</v>
      </c>
      <c r="X5" s="76">
        <f t="shared" si="1"/>
        <v>6049</v>
      </c>
      <c r="Y5" s="76">
        <f>J5</f>
        <v>15579</v>
      </c>
      <c r="Z5" s="76">
        <f t="shared" ref="Z5:AB10" si="2">K5-J5</f>
        <v>6077</v>
      </c>
      <c r="AA5" s="76">
        <f t="shared" si="2"/>
        <v>5116.1812799999934</v>
      </c>
      <c r="AB5" s="76">
        <f t="shared" si="2"/>
        <v>7087.8187200000066</v>
      </c>
      <c r="AC5" s="76">
        <f>N5</f>
        <v>17829.830000000002</v>
      </c>
      <c r="AD5" s="76">
        <f t="shared" ref="AD5:AD10" si="3">O5-N5</f>
        <v>6768.1699999999983</v>
      </c>
      <c r="AE5" s="76">
        <f t="shared" ref="AE5:AF10" si="4">P5-O5</f>
        <v>5907.1797299999962</v>
      </c>
      <c r="AF5" s="76">
        <f t="shared" si="4"/>
        <v>8327.8202700000038</v>
      </c>
      <c r="AG5" s="77">
        <f>R5</f>
        <v>21405</v>
      </c>
    </row>
    <row r="6" spans="2:33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6">
        <v>13270.225169999998</v>
      </c>
      <c r="M6" s="76">
        <v>17912</v>
      </c>
      <c r="N6" s="76">
        <v>4758.2700000000004</v>
      </c>
      <c r="O6" s="76">
        <v>9681</v>
      </c>
      <c r="P6" s="76">
        <v>14844.944219999979</v>
      </c>
      <c r="Q6" s="76">
        <v>20786</v>
      </c>
      <c r="R6" s="77">
        <v>5540</v>
      </c>
      <c r="S6" s="78">
        <f t="shared" si="0"/>
        <v>0.16428870156590514</v>
      </c>
      <c r="U6" s="76">
        <f t="shared" ref="U6:U10" si="5">F6</f>
        <v>4004</v>
      </c>
      <c r="V6" s="76">
        <f t="shared" si="1"/>
        <v>4060</v>
      </c>
      <c r="W6" s="76">
        <f t="shared" si="1"/>
        <v>4140</v>
      </c>
      <c r="X6" s="76">
        <f t="shared" si="1"/>
        <v>4209</v>
      </c>
      <c r="Y6" s="76">
        <f t="shared" ref="Y6:Y10" si="6">J6</f>
        <v>4320</v>
      </c>
      <c r="Z6" s="76">
        <f t="shared" si="2"/>
        <v>4409</v>
      </c>
      <c r="AA6" s="76">
        <f t="shared" si="2"/>
        <v>4541.2251699999979</v>
      </c>
      <c r="AB6" s="76">
        <f t="shared" si="2"/>
        <v>4641.7748300000021</v>
      </c>
      <c r="AC6" s="76">
        <f t="shared" ref="AC6:AC10" si="7">N6</f>
        <v>4758.2700000000004</v>
      </c>
      <c r="AD6" s="76">
        <f t="shared" si="3"/>
        <v>4922.7299999999996</v>
      </c>
      <c r="AE6" s="76">
        <f t="shared" si="4"/>
        <v>5163.9442199999794</v>
      </c>
      <c r="AF6" s="76">
        <f t="shared" si="4"/>
        <v>5941.0557800000206</v>
      </c>
      <c r="AG6" s="77">
        <f t="shared" ref="AG6:AG10" si="8">R6</f>
        <v>5540</v>
      </c>
    </row>
    <row r="7" spans="2:33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6">
        <v>-10902.676203162495</v>
      </c>
      <c r="M7" s="56">
        <v>-14500</v>
      </c>
      <c r="N7" s="56">
        <v>-3839.28</v>
      </c>
      <c r="O7" s="56">
        <v>-8098</v>
      </c>
      <c r="P7" s="56">
        <v>-11819.36246015988</v>
      </c>
      <c r="Q7" s="56">
        <v>-14741</v>
      </c>
      <c r="R7" s="57">
        <v>-4531</v>
      </c>
      <c r="S7" s="79">
        <f t="shared" si="0"/>
        <v>0.18016919839136492</v>
      </c>
      <c r="U7" s="56">
        <f t="shared" si="5"/>
        <v>-3646</v>
      </c>
      <c r="V7" s="56">
        <f t="shared" si="1"/>
        <v>-3877</v>
      </c>
      <c r="W7" s="56">
        <f t="shared" si="1"/>
        <v>-3160</v>
      </c>
      <c r="X7" s="56">
        <f t="shared" si="1"/>
        <v>-2616</v>
      </c>
      <c r="Y7" s="56">
        <f t="shared" si="6"/>
        <v>-3844</v>
      </c>
      <c r="Z7" s="56">
        <f t="shared" si="2"/>
        <v>-3748</v>
      </c>
      <c r="AA7" s="56">
        <f t="shared" si="2"/>
        <v>-3310.6762031624949</v>
      </c>
      <c r="AB7" s="56">
        <f t="shared" si="2"/>
        <v>-3597.3237968375051</v>
      </c>
      <c r="AC7" s="56">
        <f t="shared" si="7"/>
        <v>-3839.28</v>
      </c>
      <c r="AD7" s="56">
        <f t="shared" si="3"/>
        <v>-4258.7199999999993</v>
      </c>
      <c r="AE7" s="56">
        <f t="shared" si="4"/>
        <v>-3721.3624601598804</v>
      </c>
      <c r="AF7" s="56">
        <f t="shared" si="4"/>
        <v>-2921.6375398401196</v>
      </c>
      <c r="AG7" s="57">
        <f t="shared" si="8"/>
        <v>-4531</v>
      </c>
    </row>
    <row r="8" spans="2:33" s="10" customFormat="1" x14ac:dyDescent="0.25">
      <c r="D8" s="48" t="s">
        <v>59</v>
      </c>
      <c r="E8" s="56">
        <f t="shared" ref="E8:I8" si="9">SUM(E9:E10)</f>
        <v>-9565</v>
      </c>
      <c r="F8" s="56">
        <f t="shared" si="9"/>
        <v>-2562</v>
      </c>
      <c r="G8" s="56">
        <f t="shared" si="9"/>
        <v>-5148</v>
      </c>
      <c r="H8" s="56">
        <f t="shared" si="9"/>
        <v>-8521</v>
      </c>
      <c r="I8" s="56">
        <f t="shared" si="9"/>
        <v>-12672</v>
      </c>
      <c r="J8" s="56">
        <f>SUM(J9:J10)</f>
        <v>-2271</v>
      </c>
      <c r="K8" s="56">
        <f>SUM(K9:K10)</f>
        <v>-4818</v>
      </c>
      <c r="L8" s="56">
        <f>SUM(L9:L10)</f>
        <v>-7737.5234154010004</v>
      </c>
      <c r="M8" s="56">
        <f>SUM(M9:M10)</f>
        <v>-10633</v>
      </c>
      <c r="N8" s="56">
        <f t="shared" ref="N8:O8" si="10">SUM(N9:N10)</f>
        <v>-2499.1999999999998</v>
      </c>
      <c r="O8" s="56">
        <f t="shared" si="10"/>
        <v>-4847</v>
      </c>
      <c r="P8" s="56">
        <f t="shared" ref="P8:Q8" si="11">SUM(P9:P10)</f>
        <v>-7621.3378577964713</v>
      </c>
      <c r="Q8" s="56">
        <f t="shared" si="11"/>
        <v>-11397</v>
      </c>
      <c r="R8" s="57">
        <f t="shared" ref="R8" si="12">SUM(R9:R10)</f>
        <v>-2351</v>
      </c>
      <c r="S8" s="79">
        <f t="shared" si="0"/>
        <v>-5.9298975672215093E-2</v>
      </c>
      <c r="U8" s="56">
        <f t="shared" si="5"/>
        <v>-2562</v>
      </c>
      <c r="V8" s="56">
        <f t="shared" si="1"/>
        <v>-2586</v>
      </c>
      <c r="W8" s="56">
        <f t="shared" si="1"/>
        <v>-3373</v>
      </c>
      <c r="X8" s="56">
        <f t="shared" si="1"/>
        <v>-4151</v>
      </c>
      <c r="Y8" s="56">
        <f t="shared" si="6"/>
        <v>-2271</v>
      </c>
      <c r="Z8" s="56">
        <f t="shared" si="2"/>
        <v>-2547</v>
      </c>
      <c r="AA8" s="56">
        <f t="shared" si="2"/>
        <v>-2919.5234154010004</v>
      </c>
      <c r="AB8" s="56">
        <f t="shared" si="2"/>
        <v>-2895.4765845989996</v>
      </c>
      <c r="AC8" s="56">
        <f t="shared" si="7"/>
        <v>-2499.1999999999998</v>
      </c>
      <c r="AD8" s="56">
        <f t="shared" si="3"/>
        <v>-2347.8000000000002</v>
      </c>
      <c r="AE8" s="56">
        <f t="shared" si="4"/>
        <v>-2774.3378577964713</v>
      </c>
      <c r="AF8" s="56">
        <f t="shared" si="4"/>
        <v>-3775.6621422035287</v>
      </c>
      <c r="AG8" s="57">
        <f t="shared" si="8"/>
        <v>-2351</v>
      </c>
    </row>
    <row r="9" spans="2:33" s="10" customFormat="1" x14ac:dyDescent="0.25">
      <c r="D9" s="169" t="s">
        <v>178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6">
        <v>-7278.3041595150007</v>
      </c>
      <c r="M9" s="56">
        <v>-11113</v>
      </c>
      <c r="N9" s="56">
        <v>-2312.79</v>
      </c>
      <c r="O9" s="56">
        <v>-4468</v>
      </c>
      <c r="P9" s="56">
        <v>-7066.953011403526</v>
      </c>
      <c r="Q9" s="56">
        <v>-10694</v>
      </c>
      <c r="R9" s="57">
        <v>-2200</v>
      </c>
      <c r="S9" s="79">
        <f t="shared" si="0"/>
        <v>-4.8767938290981916E-2</v>
      </c>
      <c r="U9" s="56">
        <f t="shared" si="5"/>
        <v>-2398</v>
      </c>
      <c r="V9" s="56">
        <f t="shared" si="1"/>
        <v>-2403</v>
      </c>
      <c r="W9" s="56">
        <f t="shared" si="1"/>
        <v>-3192</v>
      </c>
      <c r="X9" s="56">
        <f t="shared" si="1"/>
        <v>-3955</v>
      </c>
      <c r="Y9" s="56">
        <f t="shared" si="6"/>
        <v>-2128</v>
      </c>
      <c r="Z9" s="56">
        <f t="shared" si="2"/>
        <v>-2413</v>
      </c>
      <c r="AA9" s="56">
        <f t="shared" si="2"/>
        <v>-2737.3041595150007</v>
      </c>
      <c r="AB9" s="56">
        <f t="shared" si="2"/>
        <v>-3834.6958404849993</v>
      </c>
      <c r="AC9" s="56">
        <f t="shared" si="7"/>
        <v>-2312.79</v>
      </c>
      <c r="AD9" s="56">
        <f t="shared" si="3"/>
        <v>-2155.21</v>
      </c>
      <c r="AE9" s="56">
        <f t="shared" si="4"/>
        <v>-2598.953011403526</v>
      </c>
      <c r="AF9" s="56">
        <f t="shared" si="4"/>
        <v>-3627.046988596474</v>
      </c>
      <c r="AG9" s="57">
        <f t="shared" si="8"/>
        <v>-2200</v>
      </c>
    </row>
    <row r="10" spans="2:33" s="10" customFormat="1" ht="15" thickBot="1" x14ac:dyDescent="0.3">
      <c r="D10" s="169" t="s">
        <v>214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6">
        <v>-459.21925588599998</v>
      </c>
      <c r="M10" s="56">
        <v>480</v>
      </c>
      <c r="N10" s="56">
        <v>-186.41</v>
      </c>
      <c r="O10" s="56">
        <v>-379</v>
      </c>
      <c r="P10" s="56">
        <v>-554.38484639294563</v>
      </c>
      <c r="Q10" s="56">
        <v>-703</v>
      </c>
      <c r="R10" s="57">
        <v>-151</v>
      </c>
      <c r="S10" s="79">
        <f t="shared" si="0"/>
        <v>-0.18995762029934016</v>
      </c>
      <c r="U10" s="56">
        <f t="shared" si="5"/>
        <v>-164</v>
      </c>
      <c r="V10" s="56">
        <f t="shared" si="1"/>
        <v>-183</v>
      </c>
      <c r="W10" s="56">
        <f t="shared" si="1"/>
        <v>-181</v>
      </c>
      <c r="X10" s="56">
        <f t="shared" si="1"/>
        <v>-196</v>
      </c>
      <c r="Y10" s="56">
        <f t="shared" si="6"/>
        <v>-143</v>
      </c>
      <c r="Z10" s="56">
        <f t="shared" si="2"/>
        <v>-134</v>
      </c>
      <c r="AA10" s="56">
        <f t="shared" si="2"/>
        <v>-182.21925588599998</v>
      </c>
      <c r="AB10" s="56">
        <f t="shared" si="2"/>
        <v>939.21925588599993</v>
      </c>
      <c r="AC10" s="56">
        <f t="shared" si="7"/>
        <v>-186.41</v>
      </c>
      <c r="AD10" s="56">
        <f t="shared" si="3"/>
        <v>-192.59</v>
      </c>
      <c r="AE10" s="56">
        <f t="shared" si="4"/>
        <v>-175.38484639294563</v>
      </c>
      <c r="AF10" s="56">
        <f t="shared" si="4"/>
        <v>-148.61515360705437</v>
      </c>
      <c r="AG10" s="57">
        <f t="shared" si="8"/>
        <v>-151</v>
      </c>
    </row>
    <row r="11" spans="2:33" s="10" customFormat="1" ht="15" thickBot="1" x14ac:dyDescent="0.3">
      <c r="D11" s="42" t="s">
        <v>56</v>
      </c>
      <c r="E11" s="59">
        <f t="shared" ref="E11:Q11" si="13">SUM(E6,E7,E8)</f>
        <v>-8458</v>
      </c>
      <c r="F11" s="59">
        <f t="shared" si="13"/>
        <v>-2204</v>
      </c>
      <c r="G11" s="59">
        <f t="shared" si="13"/>
        <v>-4607</v>
      </c>
      <c r="H11" s="59">
        <f t="shared" si="13"/>
        <v>-7000</v>
      </c>
      <c r="I11" s="59">
        <f t="shared" si="13"/>
        <v>-9558</v>
      </c>
      <c r="J11" s="59">
        <f t="shared" si="13"/>
        <v>-1795</v>
      </c>
      <c r="K11" s="59">
        <f t="shared" si="13"/>
        <v>-3681</v>
      </c>
      <c r="L11" s="59">
        <f t="shared" si="13"/>
        <v>-5369.9744485634974</v>
      </c>
      <c r="M11" s="59">
        <f t="shared" si="13"/>
        <v>-7221</v>
      </c>
      <c r="N11" s="59">
        <f t="shared" si="13"/>
        <v>-1580.2099999999996</v>
      </c>
      <c r="O11" s="59">
        <f t="shared" si="13"/>
        <v>-3264</v>
      </c>
      <c r="P11" s="59">
        <f t="shared" si="13"/>
        <v>-4595.7560979563723</v>
      </c>
      <c r="Q11" s="59">
        <f t="shared" si="13"/>
        <v>-5352</v>
      </c>
      <c r="R11" s="60">
        <f t="shared" ref="R11" si="14">SUM(R6,R7,R8)</f>
        <v>-1342</v>
      </c>
      <c r="S11" s="80">
        <f t="shared" si="0"/>
        <v>-0.15074578695236684</v>
      </c>
      <c r="U11" s="59">
        <f t="shared" ref="U11:AA11" si="15">SUM(U6,U7,U8)</f>
        <v>-2204</v>
      </c>
      <c r="V11" s="59">
        <f t="shared" si="15"/>
        <v>-2403</v>
      </c>
      <c r="W11" s="59">
        <f t="shared" si="15"/>
        <v>-2393</v>
      </c>
      <c r="X11" s="59">
        <f t="shared" si="15"/>
        <v>-2558</v>
      </c>
      <c r="Y11" s="59">
        <f t="shared" si="15"/>
        <v>-1795</v>
      </c>
      <c r="Z11" s="59">
        <f t="shared" si="15"/>
        <v>-1886</v>
      </c>
      <c r="AA11" s="59">
        <f t="shared" si="15"/>
        <v>-1688.9744485634974</v>
      </c>
      <c r="AB11" s="59">
        <f t="shared" ref="AB11:AF11" si="16">SUM(AB6,AB7,AB8)</f>
        <v>-1851.0255514365026</v>
      </c>
      <c r="AC11" s="59">
        <f t="shared" si="16"/>
        <v>-1580.2099999999996</v>
      </c>
      <c r="AD11" s="59">
        <f t="shared" si="16"/>
        <v>-1683.79</v>
      </c>
      <c r="AE11" s="59">
        <f t="shared" si="16"/>
        <v>-1331.7560979563723</v>
      </c>
      <c r="AF11" s="59">
        <f t="shared" si="16"/>
        <v>-756.24390204362771</v>
      </c>
      <c r="AG11" s="60">
        <f t="shared" ref="AG11" si="17">SUM(AG6,AG7,AG8)</f>
        <v>-1342</v>
      </c>
    </row>
    <row r="12" spans="2:33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9"/>
      <c r="S12" s="49"/>
    </row>
    <row r="13" spans="2:33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27"/>
      <c r="S13" s="27" t="s">
        <v>46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46</v>
      </c>
    </row>
    <row r="14" spans="2:33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2:33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9"/>
      <c r="S15" s="49"/>
    </row>
    <row r="16" spans="2:33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47" t="s">
        <v>228</v>
      </c>
      <c r="R16" s="74" t="s">
        <v>230</v>
      </c>
      <c r="S16" s="82" t="s">
        <v>2</v>
      </c>
      <c r="U16" s="47" t="s">
        <v>62</v>
      </c>
      <c r="V16" s="47" t="s">
        <v>63</v>
      </c>
      <c r="W16" s="47" t="s">
        <v>64</v>
      </c>
      <c r="X16" s="47" t="s">
        <v>65</v>
      </c>
      <c r="Y16" s="47" t="s">
        <v>189</v>
      </c>
      <c r="Z16" s="47" t="s">
        <v>213</v>
      </c>
      <c r="AA16" s="47" t="s">
        <v>217</v>
      </c>
      <c r="AB16" s="47" t="s">
        <v>219</v>
      </c>
      <c r="AC16" s="47" t="s">
        <v>221</v>
      </c>
      <c r="AD16" s="47" t="s">
        <v>224</v>
      </c>
      <c r="AE16" s="47" t="s">
        <v>227</v>
      </c>
      <c r="AF16" s="47" t="s">
        <v>229</v>
      </c>
      <c r="AG16" s="74" t="s">
        <v>232</v>
      </c>
    </row>
    <row r="17" spans="4:33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Q17" si="18">-J7/J6</f>
        <v>0.88981481481481484</v>
      </c>
      <c r="K17" s="49">
        <f t="shared" si="18"/>
        <v>0.86974452972849126</v>
      </c>
      <c r="L17" s="49">
        <f t="shared" si="18"/>
        <v>0.82158939004367293</v>
      </c>
      <c r="M17" s="49">
        <f t="shared" si="18"/>
        <v>0.80951317552478785</v>
      </c>
      <c r="N17" s="49">
        <f t="shared" si="18"/>
        <v>0.80686467981009902</v>
      </c>
      <c r="O17" s="49">
        <f t="shared" si="18"/>
        <v>0.83648383431463691</v>
      </c>
      <c r="P17" s="49">
        <f t="shared" si="18"/>
        <v>0.79618773132445608</v>
      </c>
      <c r="Q17" s="49">
        <f t="shared" si="18"/>
        <v>0.70917925526796888</v>
      </c>
      <c r="R17" s="50">
        <f t="shared" ref="R17" si="19">-R7/R6</f>
        <v>0.817870036101083</v>
      </c>
      <c r="S17" s="69">
        <f>(R17-N17)*100</f>
        <v>1.1005356290983981</v>
      </c>
      <c r="U17" s="49">
        <f t="shared" ref="U17:AA17" si="20">-U7/U6</f>
        <v>0.91058941058941056</v>
      </c>
      <c r="V17" s="49">
        <f t="shared" si="20"/>
        <v>0.95492610837438419</v>
      </c>
      <c r="W17" s="49">
        <f t="shared" si="20"/>
        <v>0.76328502415458932</v>
      </c>
      <c r="X17" s="49">
        <f t="shared" si="20"/>
        <v>0.62152530292230934</v>
      </c>
      <c r="Y17" s="49">
        <f t="shared" si="20"/>
        <v>0.88981481481481484</v>
      </c>
      <c r="Z17" s="49">
        <f t="shared" si="20"/>
        <v>0.85007938308006348</v>
      </c>
      <c r="AA17" s="49">
        <f t="shared" si="20"/>
        <v>0.72902709714402825</v>
      </c>
      <c r="AB17" s="49">
        <f t="shared" ref="AB17:AC17" si="21">-AB7/AB6</f>
        <v>0.77498886279184365</v>
      </c>
      <c r="AC17" s="49">
        <f t="shared" si="21"/>
        <v>0.80686467981009902</v>
      </c>
      <c r="AD17" s="49">
        <f>-AD7/AD6</f>
        <v>0.86511346346437845</v>
      </c>
      <c r="AE17" s="49">
        <f t="shared" ref="AE17:AG17" si="22">-AE7/AE6</f>
        <v>0.72064342712049956</v>
      </c>
      <c r="AF17" s="49">
        <f t="shared" si="22"/>
        <v>0.49177076399038783</v>
      </c>
      <c r="AG17" s="50">
        <f t="shared" si="22"/>
        <v>0.817870036101083</v>
      </c>
    </row>
    <row r="18" spans="4:33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Q18" si="23">-J8/J6</f>
        <v>0.52569444444444446</v>
      </c>
      <c r="K18" s="49">
        <f t="shared" si="23"/>
        <v>0.55195325925077332</v>
      </c>
      <c r="L18" s="49">
        <f t="shared" si="23"/>
        <v>0.58307401089871647</v>
      </c>
      <c r="M18" s="49">
        <f t="shared" si="23"/>
        <v>0.59362438588655653</v>
      </c>
      <c r="N18" s="49">
        <f t="shared" si="23"/>
        <v>0.52523291028041696</v>
      </c>
      <c r="O18" s="49">
        <f t="shared" si="23"/>
        <v>0.50067141824191719</v>
      </c>
      <c r="P18" s="49">
        <f t="shared" si="23"/>
        <v>0.51339619367033784</v>
      </c>
      <c r="Q18" s="49">
        <f t="shared" si="23"/>
        <v>0.5483017415568171</v>
      </c>
      <c r="R18" s="50">
        <f t="shared" ref="R18" si="24">-R8/R6</f>
        <v>0.42436823104693139</v>
      </c>
      <c r="S18" s="69">
        <f>(R18-N18)*100</f>
        <v>-10.086467923348557</v>
      </c>
      <c r="U18" s="49">
        <f t="shared" ref="U18:AA18" si="25">-U8/U6</f>
        <v>0.6398601398601399</v>
      </c>
      <c r="V18" s="49">
        <f t="shared" si="25"/>
        <v>0.63694581280788176</v>
      </c>
      <c r="W18" s="49">
        <f t="shared" si="25"/>
        <v>0.81473429951690823</v>
      </c>
      <c r="X18" s="49">
        <f t="shared" si="25"/>
        <v>0.98622000475172245</v>
      </c>
      <c r="Y18" s="49">
        <f t="shared" si="25"/>
        <v>0.52569444444444446</v>
      </c>
      <c r="Z18" s="49">
        <f t="shared" si="25"/>
        <v>0.57768201406214559</v>
      </c>
      <c r="AA18" s="49">
        <f t="shared" si="25"/>
        <v>0.64289333959650408</v>
      </c>
      <c r="AB18" s="49">
        <f t="shared" ref="AB18:AC18" si="26">-AB8/AB6</f>
        <v>0.62378652361277898</v>
      </c>
      <c r="AC18" s="49">
        <f t="shared" si="26"/>
        <v>0.52523291028041696</v>
      </c>
      <c r="AD18" s="49">
        <f>-AD8/AD6</f>
        <v>0.47693048369502294</v>
      </c>
      <c r="AE18" s="49">
        <f t="shared" ref="AE18:AG18" si="27">-AE8/AE6</f>
        <v>0.53725170908149011</v>
      </c>
      <c r="AF18" s="49">
        <f t="shared" si="27"/>
        <v>0.63552039940677274</v>
      </c>
      <c r="AG18" s="50">
        <f t="shared" si="27"/>
        <v>0.42436823104693139</v>
      </c>
    </row>
    <row r="19" spans="4:33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Q19" si="28">-(J7+J8)/J6</f>
        <v>1.4155092592592593</v>
      </c>
      <c r="K19" s="51">
        <f t="shared" si="28"/>
        <v>1.4216977889792646</v>
      </c>
      <c r="L19" s="51">
        <f t="shared" si="28"/>
        <v>1.4046634009423895</v>
      </c>
      <c r="M19" s="51">
        <f t="shared" si="28"/>
        <v>1.4031375614113444</v>
      </c>
      <c r="N19" s="51">
        <f t="shared" si="28"/>
        <v>1.3320975900905159</v>
      </c>
      <c r="O19" s="51">
        <f t="shared" si="28"/>
        <v>1.337155252556554</v>
      </c>
      <c r="P19" s="51">
        <f t="shared" si="28"/>
        <v>1.3095839249947938</v>
      </c>
      <c r="Q19" s="51">
        <f t="shared" si="28"/>
        <v>1.257480996824786</v>
      </c>
      <c r="R19" s="52">
        <f t="shared" ref="R19" si="29">-(R7+R8)/R6</f>
        <v>1.2422382671480143</v>
      </c>
      <c r="S19" s="83">
        <f>(R19-N19)*100</f>
        <v>-8.9859322942501549</v>
      </c>
      <c r="U19" s="51">
        <f t="shared" ref="U19:AA19" si="30">-(U7+U8)/U6</f>
        <v>1.5504495504495504</v>
      </c>
      <c r="V19" s="51">
        <f t="shared" si="30"/>
        <v>1.5918719211822661</v>
      </c>
      <c r="W19" s="51">
        <f t="shared" si="30"/>
        <v>1.5780193236714977</v>
      </c>
      <c r="X19" s="51">
        <f t="shared" si="30"/>
        <v>1.6077453076740318</v>
      </c>
      <c r="Y19" s="51">
        <f t="shared" si="30"/>
        <v>1.4155092592592593</v>
      </c>
      <c r="Z19" s="51">
        <f t="shared" si="30"/>
        <v>1.4277613971422092</v>
      </c>
      <c r="AA19" s="51">
        <f t="shared" si="30"/>
        <v>1.3719204367405324</v>
      </c>
      <c r="AB19" s="51">
        <f t="shared" ref="AB19:AC19" si="31">-(AB7+AB8)/AB6</f>
        <v>1.3987753864046226</v>
      </c>
      <c r="AC19" s="51">
        <f t="shared" si="31"/>
        <v>1.3320975900905159</v>
      </c>
      <c r="AD19" s="51">
        <f>-(AD7+AD8)/AD6</f>
        <v>1.3420439471594015</v>
      </c>
      <c r="AE19" s="51">
        <f t="shared" ref="AE19:AG19" si="32">-(AE7+AE8)/AE6</f>
        <v>1.2578951362019897</v>
      </c>
      <c r="AF19" s="51">
        <f t="shared" si="32"/>
        <v>1.1272911633971605</v>
      </c>
      <c r="AG19" s="52">
        <f t="shared" si="32"/>
        <v>1.2422382671480143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2" width="11" style="73" hidden="1" customWidth="1" outlineLevel="1" collapsed="1"/>
    <col min="13" max="13" width="11" style="73" customWidth="1" collapsed="1"/>
    <col min="14" max="14" width="11" style="73" customWidth="1"/>
    <col min="15" max="16" width="11" style="73" hidden="1" customWidth="1" outlineLevel="1"/>
    <col min="17" max="17" width="11" style="73" customWidth="1" collapsed="1"/>
    <col min="18" max="19" width="11" style="73" customWidth="1"/>
    <col min="20" max="20" width="3" style="13" customWidth="1"/>
    <col min="21" max="25" width="10.85546875" style="73"/>
    <col min="26" max="26" width="10.85546875" style="73" customWidth="1"/>
    <col min="27" max="16384" width="10.85546875" style="73"/>
  </cols>
  <sheetData>
    <row r="1" spans="2:33" ht="16.5" customHeight="1" x14ac:dyDescent="0.2"/>
    <row r="2" spans="2:33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44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188</v>
      </c>
      <c r="K4" s="47" t="s">
        <v>212</v>
      </c>
      <c r="L4" s="47" t="s">
        <v>216</v>
      </c>
      <c r="M4" s="47" t="s">
        <v>218</v>
      </c>
      <c r="N4" s="47" t="s">
        <v>220</v>
      </c>
      <c r="O4" s="47" t="s">
        <v>223</v>
      </c>
      <c r="P4" s="47" t="s">
        <v>226</v>
      </c>
      <c r="Q4" s="47" t="s">
        <v>228</v>
      </c>
      <c r="R4" s="74" t="s">
        <v>230</v>
      </c>
      <c r="S4" s="75" t="s">
        <v>0</v>
      </c>
      <c r="T4" s="13"/>
      <c r="U4" s="47" t="s">
        <v>62</v>
      </c>
      <c r="V4" s="47" t="s">
        <v>63</v>
      </c>
      <c r="W4" s="47" t="s">
        <v>64</v>
      </c>
      <c r="X4" s="47" t="s">
        <v>65</v>
      </c>
      <c r="Y4" s="47" t="s">
        <v>189</v>
      </c>
      <c r="Z4" s="47" t="s">
        <v>213</v>
      </c>
      <c r="AA4" s="47" t="s">
        <v>217</v>
      </c>
      <c r="AB4" s="47" t="s">
        <v>219</v>
      </c>
      <c r="AC4" s="47" t="s">
        <v>221</v>
      </c>
      <c r="AD4" s="47" t="s">
        <v>224</v>
      </c>
      <c r="AE4" s="47" t="s">
        <v>227</v>
      </c>
      <c r="AF4" s="47" t="s">
        <v>229</v>
      </c>
      <c r="AG4" s="74" t="s">
        <v>232</v>
      </c>
    </row>
    <row r="5" spans="2:33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6">
        <v>1358.5527999999997</v>
      </c>
      <c r="M5" s="76">
        <v>1694</v>
      </c>
      <c r="N5" s="76">
        <v>1375.08</v>
      </c>
      <c r="O5" s="76">
        <v>2104</v>
      </c>
      <c r="P5" s="76">
        <v>3004.6632899999995</v>
      </c>
      <c r="Q5" s="76">
        <v>3946</v>
      </c>
      <c r="R5" s="77">
        <v>2200</v>
      </c>
      <c r="S5" s="78">
        <f t="shared" ref="S5:S11" si="0">+R5/N5-1</f>
        <v>0.59990691450679234</v>
      </c>
      <c r="U5" s="76">
        <f>F5</f>
        <v>741</v>
      </c>
      <c r="V5" s="76">
        <f t="shared" ref="V5:X10" si="1">G5-F5</f>
        <v>13</v>
      </c>
      <c r="W5" s="76">
        <f t="shared" si="1"/>
        <v>13</v>
      </c>
      <c r="X5" s="76">
        <f t="shared" si="1"/>
        <v>16</v>
      </c>
      <c r="Y5" s="76">
        <f>J5</f>
        <v>799</v>
      </c>
      <c r="Z5" s="76">
        <f t="shared" ref="Z5:AB10" si="2">K5-J5</f>
        <v>234</v>
      </c>
      <c r="AA5" s="76">
        <f t="shared" si="2"/>
        <v>325.55279999999971</v>
      </c>
      <c r="AB5" s="76">
        <f t="shared" si="2"/>
        <v>335.44720000000029</v>
      </c>
      <c r="AC5" s="76">
        <f>N5</f>
        <v>1375.08</v>
      </c>
      <c r="AD5" s="76">
        <f t="shared" ref="AD5:AD10" si="3">O5-N5</f>
        <v>728.92000000000007</v>
      </c>
      <c r="AE5" s="76">
        <f t="shared" ref="AE5:AF10" si="4">P5-O5</f>
        <v>900.66328999999951</v>
      </c>
      <c r="AF5" s="76">
        <f t="shared" si="4"/>
        <v>941.33671000000049</v>
      </c>
      <c r="AG5" s="77">
        <f>R5</f>
        <v>2200</v>
      </c>
    </row>
    <row r="6" spans="2:33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6">
        <v>714.09659999999917</v>
      </c>
      <c r="M6" s="76">
        <v>1089</v>
      </c>
      <c r="N6" s="76">
        <v>552.45000000000005</v>
      </c>
      <c r="O6" s="76">
        <v>1113</v>
      </c>
      <c r="P6" s="76">
        <v>1778.7546799999986</v>
      </c>
      <c r="Q6" s="76">
        <v>2555</v>
      </c>
      <c r="R6" s="77">
        <v>923</v>
      </c>
      <c r="S6" s="78">
        <f t="shared" si="0"/>
        <v>0.67073943343288978</v>
      </c>
      <c r="U6" s="76">
        <f t="shared" ref="U6:U10" si="5">F6</f>
        <v>235</v>
      </c>
      <c r="V6" s="76">
        <f t="shared" si="1"/>
        <v>178</v>
      </c>
      <c r="W6" s="76">
        <f t="shared" si="1"/>
        <v>180</v>
      </c>
      <c r="X6" s="76">
        <f t="shared" si="1"/>
        <v>180</v>
      </c>
      <c r="Y6" s="76">
        <f t="shared" ref="Y6:Y10" si="6">J6</f>
        <v>188</v>
      </c>
      <c r="Z6" s="76">
        <f t="shared" si="2"/>
        <v>228</v>
      </c>
      <c r="AA6" s="76">
        <f t="shared" si="2"/>
        <v>298.09659999999917</v>
      </c>
      <c r="AB6" s="76">
        <f t="shared" si="2"/>
        <v>374.90340000000083</v>
      </c>
      <c r="AC6" s="76">
        <f t="shared" ref="AC6:AC10" si="7">N6</f>
        <v>552.45000000000005</v>
      </c>
      <c r="AD6" s="76">
        <f t="shared" si="3"/>
        <v>560.54999999999995</v>
      </c>
      <c r="AE6" s="76">
        <f t="shared" si="4"/>
        <v>665.75467999999864</v>
      </c>
      <c r="AF6" s="76">
        <f t="shared" si="4"/>
        <v>776.24532000000136</v>
      </c>
      <c r="AG6" s="77">
        <f t="shared" ref="AG6:AG10" si="8">R6</f>
        <v>923</v>
      </c>
    </row>
    <row r="7" spans="2:33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6">
        <v>-305.26263</v>
      </c>
      <c r="M7" s="56">
        <v>-412</v>
      </c>
      <c r="N7" s="56">
        <v>-51.35</v>
      </c>
      <c r="O7" s="56">
        <v>-133</v>
      </c>
      <c r="P7" s="56">
        <v>-344.72228233800024</v>
      </c>
      <c r="Q7" s="56">
        <v>-615</v>
      </c>
      <c r="R7" s="57">
        <v>-365</v>
      </c>
      <c r="S7" s="79">
        <f t="shared" si="0"/>
        <v>6.1080817916260957</v>
      </c>
      <c r="U7" s="56">
        <f t="shared" si="5"/>
        <v>-95</v>
      </c>
      <c r="V7" s="56">
        <f t="shared" si="1"/>
        <v>-100</v>
      </c>
      <c r="W7" s="56">
        <f t="shared" si="1"/>
        <v>-110</v>
      </c>
      <c r="X7" s="56">
        <f t="shared" si="1"/>
        <v>-171</v>
      </c>
      <c r="Y7" s="56">
        <f t="shared" si="6"/>
        <v>-111</v>
      </c>
      <c r="Z7" s="56">
        <f t="shared" si="2"/>
        <v>-105</v>
      </c>
      <c r="AA7" s="56">
        <f t="shared" si="2"/>
        <v>-89.262630000000001</v>
      </c>
      <c r="AB7" s="56">
        <f t="shared" si="2"/>
        <v>-106.73737</v>
      </c>
      <c r="AC7" s="56">
        <f t="shared" si="7"/>
        <v>-51.35</v>
      </c>
      <c r="AD7" s="56">
        <f t="shared" si="3"/>
        <v>-81.650000000000006</v>
      </c>
      <c r="AE7" s="56">
        <f t="shared" si="4"/>
        <v>-211.72228233800024</v>
      </c>
      <c r="AF7" s="56">
        <f t="shared" si="4"/>
        <v>-270.27771766199976</v>
      </c>
      <c r="AG7" s="57">
        <f t="shared" si="8"/>
        <v>-365</v>
      </c>
    </row>
    <row r="8" spans="2:33" s="10" customFormat="1" x14ac:dyDescent="0.25">
      <c r="D8" s="48" t="s">
        <v>59</v>
      </c>
      <c r="E8" s="56">
        <f>SUM(E9:E10)</f>
        <v>-66</v>
      </c>
      <c r="F8" s="56">
        <f t="shared" ref="F8:M8" si="9">SUM(F9:F10)</f>
        <v>-36</v>
      </c>
      <c r="G8" s="56">
        <f t="shared" si="9"/>
        <v>-43</v>
      </c>
      <c r="H8" s="56">
        <f t="shared" si="9"/>
        <v>-57</v>
      </c>
      <c r="I8" s="56">
        <f t="shared" si="9"/>
        <v>-59</v>
      </c>
      <c r="J8" s="56">
        <f t="shared" si="9"/>
        <v>-136</v>
      </c>
      <c r="K8" s="56">
        <f t="shared" si="9"/>
        <v>-267</v>
      </c>
      <c r="L8" s="56">
        <f t="shared" si="9"/>
        <v>-484.61062249599991</v>
      </c>
      <c r="M8" s="56">
        <f t="shared" si="9"/>
        <v>-1009</v>
      </c>
      <c r="N8" s="56">
        <f t="shared" ref="N8:O8" si="10">SUM(N9:N10)</f>
        <v>-312.32</v>
      </c>
      <c r="O8" s="56">
        <f t="shared" si="10"/>
        <v>-1098</v>
      </c>
      <c r="P8" s="56">
        <f t="shared" ref="P8:Q8" si="11">SUM(P9:P10)</f>
        <v>-1599.3238496339998</v>
      </c>
      <c r="Q8" s="56">
        <f t="shared" si="11"/>
        <v>-2019</v>
      </c>
      <c r="R8" s="57">
        <f t="shared" ref="R8" si="12">SUM(R9:R10)</f>
        <v>-297</v>
      </c>
      <c r="S8" s="79">
        <f t="shared" si="0"/>
        <v>-4.905225409836067E-2</v>
      </c>
      <c r="U8" s="56">
        <f t="shared" si="5"/>
        <v>-36</v>
      </c>
      <c r="V8" s="56">
        <f t="shared" si="1"/>
        <v>-7</v>
      </c>
      <c r="W8" s="56">
        <f t="shared" si="1"/>
        <v>-14</v>
      </c>
      <c r="X8" s="56">
        <f t="shared" si="1"/>
        <v>-2</v>
      </c>
      <c r="Y8" s="56">
        <f t="shared" si="6"/>
        <v>-136</v>
      </c>
      <c r="Z8" s="56">
        <f t="shared" si="2"/>
        <v>-131</v>
      </c>
      <c r="AA8" s="56">
        <f t="shared" si="2"/>
        <v>-217.61062249599991</v>
      </c>
      <c r="AB8" s="56">
        <f t="shared" si="2"/>
        <v>-524.38937750400009</v>
      </c>
      <c r="AC8" s="56">
        <f t="shared" si="7"/>
        <v>-312.32</v>
      </c>
      <c r="AD8" s="56">
        <f t="shared" si="3"/>
        <v>-785.68000000000006</v>
      </c>
      <c r="AE8" s="56">
        <f t="shared" si="4"/>
        <v>-501.32384963399977</v>
      </c>
      <c r="AF8" s="56">
        <f t="shared" si="4"/>
        <v>-419.67615036600023</v>
      </c>
      <c r="AG8" s="57">
        <f t="shared" si="8"/>
        <v>-297</v>
      </c>
    </row>
    <row r="9" spans="2:33" s="10" customFormat="1" x14ac:dyDescent="0.25">
      <c r="D9" s="169" t="s">
        <v>178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6">
        <v>-385.36266249599993</v>
      </c>
      <c r="M9" s="56">
        <v>-824</v>
      </c>
      <c r="N9" s="56">
        <v>-280.01</v>
      </c>
      <c r="O9" s="56">
        <v>-1065</v>
      </c>
      <c r="P9" s="56">
        <v>-1566.9590031639998</v>
      </c>
      <c r="Q9" s="56">
        <v>-1990</v>
      </c>
      <c r="R9" s="57">
        <v>-217</v>
      </c>
      <c r="S9" s="79">
        <f t="shared" si="0"/>
        <v>-0.2250276775829434</v>
      </c>
      <c r="U9" s="56">
        <f t="shared" si="5"/>
        <v>-30</v>
      </c>
      <c r="V9" s="56">
        <f t="shared" si="1"/>
        <v>-1</v>
      </c>
      <c r="W9" s="56">
        <f t="shared" si="1"/>
        <v>-9</v>
      </c>
      <c r="X9" s="56">
        <f t="shared" si="1"/>
        <v>4</v>
      </c>
      <c r="Y9" s="56">
        <f t="shared" si="6"/>
        <v>-124</v>
      </c>
      <c r="Z9" s="56">
        <f t="shared" si="2"/>
        <v>-104</v>
      </c>
      <c r="AA9" s="56">
        <f t="shared" si="2"/>
        <v>-157.36266249599993</v>
      </c>
      <c r="AB9" s="56">
        <f t="shared" si="2"/>
        <v>-438.63733750400007</v>
      </c>
      <c r="AC9" s="56">
        <f t="shared" si="7"/>
        <v>-280.01</v>
      </c>
      <c r="AD9" s="56">
        <f t="shared" si="3"/>
        <v>-784.99</v>
      </c>
      <c r="AE9" s="56">
        <f t="shared" si="4"/>
        <v>-501.9590031639998</v>
      </c>
      <c r="AF9" s="56">
        <f t="shared" si="4"/>
        <v>-423.0409968360002</v>
      </c>
      <c r="AG9" s="57">
        <f t="shared" si="8"/>
        <v>-217</v>
      </c>
    </row>
    <row r="10" spans="2:33" s="10" customFormat="1" ht="15" thickBot="1" x14ac:dyDescent="0.3">
      <c r="D10" s="169" t="s">
        <v>214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6">
        <v>-99.247960000000006</v>
      </c>
      <c r="M10" s="56">
        <v>-185</v>
      </c>
      <c r="N10" s="56">
        <v>-32.31</v>
      </c>
      <c r="O10" s="56">
        <v>-33</v>
      </c>
      <c r="P10" s="56">
        <v>-32.364846469999989</v>
      </c>
      <c r="Q10" s="56">
        <v>-29</v>
      </c>
      <c r="R10" s="57">
        <v>-80</v>
      </c>
      <c r="S10" s="79">
        <f t="shared" si="0"/>
        <v>1.4760136180748993</v>
      </c>
      <c r="U10" s="56">
        <f t="shared" si="5"/>
        <v>-6</v>
      </c>
      <c r="V10" s="56">
        <f t="shared" si="1"/>
        <v>-6</v>
      </c>
      <c r="W10" s="56">
        <f t="shared" si="1"/>
        <v>-5</v>
      </c>
      <c r="X10" s="56">
        <f t="shared" si="1"/>
        <v>-6</v>
      </c>
      <c r="Y10" s="56">
        <f t="shared" si="6"/>
        <v>-12</v>
      </c>
      <c r="Z10" s="56">
        <f t="shared" si="2"/>
        <v>-27</v>
      </c>
      <c r="AA10" s="56">
        <f t="shared" si="2"/>
        <v>-60.247960000000006</v>
      </c>
      <c r="AB10" s="56">
        <f t="shared" si="2"/>
        <v>-85.752039999999994</v>
      </c>
      <c r="AC10" s="56">
        <f t="shared" si="7"/>
        <v>-32.31</v>
      </c>
      <c r="AD10" s="56">
        <f t="shared" si="3"/>
        <v>-0.68999999999999773</v>
      </c>
      <c r="AE10" s="56">
        <f t="shared" si="4"/>
        <v>0.63515353000001085</v>
      </c>
      <c r="AF10" s="56">
        <f t="shared" si="4"/>
        <v>3.3648464699999892</v>
      </c>
      <c r="AG10" s="57">
        <f t="shared" si="8"/>
        <v>-80</v>
      </c>
    </row>
    <row r="11" spans="2:33" s="10" customFormat="1" ht="15" thickBot="1" x14ac:dyDescent="0.3">
      <c r="D11" s="42" t="s">
        <v>56</v>
      </c>
      <c r="E11" s="59">
        <f t="shared" ref="E11:Q11" si="13">SUM(E6,E7,E8)</f>
        <v>352</v>
      </c>
      <c r="F11" s="59">
        <f t="shared" si="13"/>
        <v>104</v>
      </c>
      <c r="G11" s="59">
        <f t="shared" si="13"/>
        <v>175</v>
      </c>
      <c r="H11" s="59">
        <f t="shared" si="13"/>
        <v>231</v>
      </c>
      <c r="I11" s="59">
        <f t="shared" si="13"/>
        <v>238</v>
      </c>
      <c r="J11" s="59">
        <f t="shared" si="13"/>
        <v>-59</v>
      </c>
      <c r="K11" s="59">
        <f t="shared" si="13"/>
        <v>-67</v>
      </c>
      <c r="L11" s="59">
        <f t="shared" si="13"/>
        <v>-75.776652496000736</v>
      </c>
      <c r="M11" s="59">
        <f t="shared" si="13"/>
        <v>-332</v>
      </c>
      <c r="N11" s="59">
        <f t="shared" si="13"/>
        <v>188.78000000000003</v>
      </c>
      <c r="O11" s="59">
        <f t="shared" si="13"/>
        <v>-118</v>
      </c>
      <c r="P11" s="59">
        <f t="shared" si="13"/>
        <v>-165.29145197200137</v>
      </c>
      <c r="Q11" s="59">
        <f t="shared" si="13"/>
        <v>-79</v>
      </c>
      <c r="R11" s="60">
        <f t="shared" ref="R11" si="14">SUM(R6,R7,R8)</f>
        <v>261</v>
      </c>
      <c r="S11" s="80">
        <f t="shared" si="0"/>
        <v>0.38256171204576739</v>
      </c>
      <c r="U11" s="59">
        <f t="shared" ref="U11:AF11" si="15">SUM(U6,U7,U8)</f>
        <v>104</v>
      </c>
      <c r="V11" s="59">
        <f t="shared" si="15"/>
        <v>71</v>
      </c>
      <c r="W11" s="59">
        <f t="shared" si="15"/>
        <v>56</v>
      </c>
      <c r="X11" s="59">
        <f t="shared" si="15"/>
        <v>7</v>
      </c>
      <c r="Y11" s="59">
        <f t="shared" si="15"/>
        <v>-59</v>
      </c>
      <c r="Z11" s="59">
        <f t="shared" si="15"/>
        <v>-8</v>
      </c>
      <c r="AA11" s="59">
        <f t="shared" si="15"/>
        <v>-8.7766524960007359</v>
      </c>
      <c r="AB11" s="59">
        <f t="shared" si="15"/>
        <v>-256.22334750399926</v>
      </c>
      <c r="AC11" s="59">
        <f t="shared" si="15"/>
        <v>188.78000000000003</v>
      </c>
      <c r="AD11" s="59">
        <f t="shared" si="15"/>
        <v>-306.78000000000009</v>
      </c>
      <c r="AE11" s="59">
        <f t="shared" si="15"/>
        <v>-47.291451972001369</v>
      </c>
      <c r="AF11" s="59">
        <f t="shared" si="15"/>
        <v>86.291451972001369</v>
      </c>
      <c r="AG11" s="60">
        <f t="shared" ref="AG11" si="16">SUM(AG6,AG7,AG8)</f>
        <v>261</v>
      </c>
    </row>
    <row r="12" spans="2:33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9"/>
      <c r="S12" s="49"/>
    </row>
    <row r="13" spans="2:33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27"/>
      <c r="S13" s="27" t="s">
        <v>46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46</v>
      </c>
    </row>
    <row r="14" spans="2:33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2:33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9"/>
      <c r="S15" s="49"/>
    </row>
    <row r="16" spans="2:33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188</v>
      </c>
      <c r="K16" s="47" t="s">
        <v>212</v>
      </c>
      <c r="L16" s="47" t="s">
        <v>216</v>
      </c>
      <c r="M16" s="47" t="s">
        <v>218</v>
      </c>
      <c r="N16" s="47" t="s">
        <v>220</v>
      </c>
      <c r="O16" s="47" t="s">
        <v>223</v>
      </c>
      <c r="P16" s="47" t="s">
        <v>226</v>
      </c>
      <c r="Q16" s="47" t="s">
        <v>228</v>
      </c>
      <c r="R16" s="74" t="s">
        <v>230</v>
      </c>
      <c r="S16" s="82" t="s">
        <v>2</v>
      </c>
      <c r="U16" s="47" t="s">
        <v>62</v>
      </c>
      <c r="V16" s="47" t="s">
        <v>63</v>
      </c>
      <c r="W16" s="47" t="s">
        <v>64</v>
      </c>
      <c r="X16" s="47" t="s">
        <v>65</v>
      </c>
      <c r="Y16" s="47" t="s">
        <v>189</v>
      </c>
      <c r="Z16" s="47" t="s">
        <v>213</v>
      </c>
      <c r="AA16" s="47" t="s">
        <v>217</v>
      </c>
      <c r="AB16" s="47" t="s">
        <v>219</v>
      </c>
      <c r="AC16" s="47" t="s">
        <v>221</v>
      </c>
      <c r="AD16" s="47" t="s">
        <v>224</v>
      </c>
      <c r="AE16" s="47" t="s">
        <v>227</v>
      </c>
      <c r="AF16" s="47" t="s">
        <v>229</v>
      </c>
      <c r="AG16" s="74" t="s">
        <v>232</v>
      </c>
    </row>
    <row r="17" spans="4:33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Q17" si="17">-J7/J6</f>
        <v>0.59042553191489366</v>
      </c>
      <c r="K17" s="49">
        <f t="shared" si="17"/>
        <v>0.51923076923076927</v>
      </c>
      <c r="L17" s="49">
        <f t="shared" si="17"/>
        <v>0.4274808618329794</v>
      </c>
      <c r="M17" s="49">
        <f t="shared" si="17"/>
        <v>0.37832874196510557</v>
      </c>
      <c r="N17" s="49">
        <f t="shared" si="17"/>
        <v>9.2949588198026969E-2</v>
      </c>
      <c r="O17" s="49">
        <f t="shared" si="17"/>
        <v>0.11949685534591195</v>
      </c>
      <c r="P17" s="49">
        <f t="shared" si="17"/>
        <v>0.193799789377364</v>
      </c>
      <c r="Q17" s="49">
        <f t="shared" si="17"/>
        <v>0.24070450097847357</v>
      </c>
      <c r="R17" s="50">
        <f t="shared" ref="R17" si="18">-R7/R6</f>
        <v>0.39544962080173346</v>
      </c>
      <c r="S17" s="69">
        <f>(R17-N17)*100</f>
        <v>30.250003260370651</v>
      </c>
      <c r="U17" s="49">
        <f t="shared" ref="U17:Y17" si="19">-U7/U6</f>
        <v>0.40425531914893614</v>
      </c>
      <c r="V17" s="49">
        <f t="shared" si="19"/>
        <v>0.5617977528089888</v>
      </c>
      <c r="W17" s="49">
        <f t="shared" si="19"/>
        <v>0.61111111111111116</v>
      </c>
      <c r="X17" s="49">
        <f t="shared" si="19"/>
        <v>0.95</v>
      </c>
      <c r="Y17" s="49">
        <f t="shared" si="19"/>
        <v>0.59042553191489366</v>
      </c>
      <c r="Z17" s="49">
        <f t="shared" ref="Z17:AF17" si="20">-Z7/Z6</f>
        <v>0.46052631578947367</v>
      </c>
      <c r="AA17" s="49">
        <f t="shared" si="20"/>
        <v>0.29944195941852492</v>
      </c>
      <c r="AB17" s="49">
        <f t="shared" si="20"/>
        <v>0.2847063270165055</v>
      </c>
      <c r="AC17" s="49">
        <f t="shared" ref="AC17" si="21">-AC7/AC6</f>
        <v>9.2949588198026969E-2</v>
      </c>
      <c r="AD17" s="49">
        <f t="shared" si="20"/>
        <v>0.14566051199714569</v>
      </c>
      <c r="AE17" s="49">
        <f t="shared" si="20"/>
        <v>0.31801846640867876</v>
      </c>
      <c r="AF17" s="49">
        <f t="shared" si="20"/>
        <v>0.34818595448923195</v>
      </c>
      <c r="AG17" s="50">
        <f t="shared" ref="AG17" si="22">-AG7/AG6</f>
        <v>0.39544962080173346</v>
      </c>
    </row>
    <row r="18" spans="4:33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Q18" si="23">-J8/J6</f>
        <v>0.72340425531914898</v>
      </c>
      <c r="K18" s="49">
        <f t="shared" si="23"/>
        <v>0.64182692307692313</v>
      </c>
      <c r="L18" s="49">
        <f t="shared" si="23"/>
        <v>0.6786345467770053</v>
      </c>
      <c r="M18" s="49">
        <f t="shared" si="23"/>
        <v>0.92653810835629014</v>
      </c>
      <c r="N18" s="49">
        <f t="shared" si="23"/>
        <v>0.56533622952303375</v>
      </c>
      <c r="O18" s="49">
        <f t="shared" si="23"/>
        <v>0.98652291105121293</v>
      </c>
      <c r="P18" s="49">
        <f t="shared" si="23"/>
        <v>0.89912558916443774</v>
      </c>
      <c r="Q18" s="49">
        <f t="shared" si="23"/>
        <v>0.79021526418786692</v>
      </c>
      <c r="R18" s="50">
        <f t="shared" ref="R18" si="24">-R8/R6</f>
        <v>0.32177681473456121</v>
      </c>
      <c r="S18" s="69">
        <f>(R18-N18)*100</f>
        <v>-24.355941478847253</v>
      </c>
      <c r="U18" s="49">
        <f t="shared" ref="U18:Y18" si="25">-U8/U6</f>
        <v>0.15319148936170213</v>
      </c>
      <c r="V18" s="49">
        <f t="shared" si="25"/>
        <v>3.9325842696629212E-2</v>
      </c>
      <c r="W18" s="49">
        <f t="shared" si="25"/>
        <v>7.7777777777777779E-2</v>
      </c>
      <c r="X18" s="49">
        <f t="shared" si="25"/>
        <v>1.1111111111111112E-2</v>
      </c>
      <c r="Y18" s="49">
        <f t="shared" si="25"/>
        <v>0.72340425531914898</v>
      </c>
      <c r="Z18" s="49">
        <f t="shared" ref="Z18:AF18" si="26">-Z8/Z6</f>
        <v>0.57456140350877194</v>
      </c>
      <c r="AA18" s="49">
        <f t="shared" si="26"/>
        <v>0.73000035054408707</v>
      </c>
      <c r="AB18" s="49">
        <f t="shared" si="26"/>
        <v>1.398731986703772</v>
      </c>
      <c r="AC18" s="49">
        <f t="shared" ref="AC18" si="27">-AC8/AC6</f>
        <v>0.56533622952303375</v>
      </c>
      <c r="AD18" s="49">
        <f t="shared" si="26"/>
        <v>1.4016234055838019</v>
      </c>
      <c r="AE18" s="49">
        <f t="shared" si="26"/>
        <v>0.75301588512152973</v>
      </c>
      <c r="AF18" s="49">
        <f t="shared" si="26"/>
        <v>0.54064886390039624</v>
      </c>
      <c r="AG18" s="50">
        <f t="shared" ref="AG18" si="28">-AG8/AG6</f>
        <v>0.32177681473456121</v>
      </c>
    </row>
    <row r="19" spans="4:33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Q19" si="29">-(J7+J8)/J6</f>
        <v>1.3138297872340425</v>
      </c>
      <c r="K19" s="51">
        <f t="shared" si="29"/>
        <v>1.1610576923076923</v>
      </c>
      <c r="L19" s="51">
        <f t="shared" si="29"/>
        <v>1.1061154086099847</v>
      </c>
      <c r="M19" s="51">
        <f t="shared" si="29"/>
        <v>1.3048668503213958</v>
      </c>
      <c r="N19" s="51">
        <f t="shared" si="29"/>
        <v>0.65828581772106065</v>
      </c>
      <c r="O19" s="51">
        <f t="shared" si="29"/>
        <v>1.106019766397125</v>
      </c>
      <c r="P19" s="51">
        <f t="shared" si="29"/>
        <v>1.0929253785418018</v>
      </c>
      <c r="Q19" s="51">
        <f t="shared" si="29"/>
        <v>1.0309197651663404</v>
      </c>
      <c r="R19" s="52">
        <f t="shared" ref="R19" si="30">-(R7+R8)/R6</f>
        <v>0.71722643553629473</v>
      </c>
      <c r="S19" s="83">
        <f>(R19-N19)*100</f>
        <v>5.8940617815234075</v>
      </c>
      <c r="U19" s="51">
        <f t="shared" ref="U19:Y19" si="31">-(U7+U8)/U6</f>
        <v>0.55744680851063833</v>
      </c>
      <c r="V19" s="51">
        <f t="shared" si="31"/>
        <v>0.601123595505618</v>
      </c>
      <c r="W19" s="51">
        <f t="shared" si="31"/>
        <v>0.68888888888888888</v>
      </c>
      <c r="X19" s="51">
        <f t="shared" si="31"/>
        <v>0.96111111111111114</v>
      </c>
      <c r="Y19" s="51">
        <f t="shared" si="31"/>
        <v>1.3138297872340425</v>
      </c>
      <c r="Z19" s="51">
        <f t="shared" ref="Z19:AF19" si="32">-(Z7+Z8)/Z6</f>
        <v>1.0350877192982457</v>
      </c>
      <c r="AA19" s="51">
        <f t="shared" si="32"/>
        <v>1.029442309962612</v>
      </c>
      <c r="AB19" s="51">
        <f t="shared" si="32"/>
        <v>1.6834383137202777</v>
      </c>
      <c r="AC19" s="51">
        <f t="shared" ref="AC19" si="33">-(AC7+AC8)/AC6</f>
        <v>0.65828581772106065</v>
      </c>
      <c r="AD19" s="51">
        <f t="shared" si="32"/>
        <v>1.5472839175809474</v>
      </c>
      <c r="AE19" s="51">
        <f t="shared" si="32"/>
        <v>1.0710343515302085</v>
      </c>
      <c r="AF19" s="51">
        <f t="shared" si="32"/>
        <v>0.88883481838962819</v>
      </c>
      <c r="AG19" s="52">
        <f t="shared" ref="AG19" si="34">-(AG7+AG8)/AG6</f>
        <v>0.71722643553629473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</ignoredErrors>
</worksheet>
</file>

<file path=docMetadata/LabelInfo.xml><?xml version="1.0" encoding="utf-8"?>
<clbl:labelList xmlns:clbl="http://schemas.microsoft.com/office/2020/mipLabelMetadata">
  <clbl:label id="{83661b87-7810-4813-8bd9-dd2ee6a65052}" enabled="1" method="Standard" siteId="{223943b3-0f38-442c-90e3-00f9c3b6b43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2026-04-22T16:44:30Z</dcterms:modified>
</cp:coreProperties>
</file>