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4\3M 2024\3. Suplemento Financiero\Sin vinculos para la página web\"/>
    </mc:Choice>
  </mc:AlternateContent>
  <xr:revisionPtr revIDLastSave="0" documentId="13_ncr:1_{F810387E-EF34-4954-9D2E-FE272E9A5F61}" xr6:coauthVersionLast="46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Balance - NIIF 4" sheetId="40" r:id="rId11"/>
    <sheet name="P&amp;G - NIIF 4" sheetId="31" r:id="rId12"/>
    <sheet name="Líneas de Negocio - NIIF 4" sheetId="32" r:id="rId13"/>
    <sheet name="Motor - NIIF 4" sheetId="33" r:id="rId14"/>
    <sheet name="Hogar - NIIF 4" sheetId="34" r:id="rId15"/>
    <sheet name="Salud - NIIF 4" sheetId="35" r:id="rId16"/>
    <sheet name="Otros - NIIF 4" sheetId="36" r:id="rId17"/>
    <sheet name="Conciliación resultado NIIF17&amp;9" sheetId="41" r:id="rId18"/>
    <sheet name="Ratio Combinado" sheetId="39" r:id="rId19"/>
    <sheet name="Inversiones" sheetId="19" r:id="rId20"/>
    <sheet name="Solvencia" sheetId="23" r:id="rId21"/>
  </sheets>
  <externalReferences>
    <externalReference r:id="rId22"/>
    <externalReference r:id="rId23"/>
  </externalReference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0">#REF!</definedName>
    <definedName name="_IsComposite" localSheetId="17">#REF!</definedName>
    <definedName name="_IsComposite">[1]Participant!$G$15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0">#REF!</definedName>
    <definedName name="_TS_" localSheetId="17">#REF!</definedName>
    <definedName name="_TS_">[1]P.Index!$F$40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'Balance - NIIF 17&amp;9'!$B$1:$C$39</definedName>
    <definedName name="_xlnm.Print_Area" localSheetId="10">'Balance - NIIF 4'!$B$1:$H$37</definedName>
    <definedName name="_xlnm.Print_Area" localSheetId="6">'Hogar - NIIF 17&amp;9'!$B$1:$L$3</definedName>
    <definedName name="_xlnm.Print_Area" localSheetId="5">'Motor - NIIF 17&amp;9'!$B$1:$L$3</definedName>
    <definedName name="_xlnm.Print_Area" localSheetId="13">'Motor - NIIF 4'!$B$1:$AE$18</definedName>
    <definedName name="_xlnm.Print_Area" localSheetId="8">'Otros - NIIF 17&amp;9'!$B$1:$L$3</definedName>
    <definedName name="_xlnm.Print_Area" localSheetId="16">'Otros - NIIF 4'!$B$1:$AE$19</definedName>
    <definedName name="_xlnm.Print_Area" localSheetId="3">'P&amp;G - NIIF 17&amp;9'!$B$1:$K$27</definedName>
    <definedName name="_xlnm.Print_Area" localSheetId="11">'P&amp;G - NIIF 4'!$B$1:$AD$26</definedName>
    <definedName name="_xlnm.Print_Area" localSheetId="7">'Salud - NIIF 17&amp;9'!$B$1:$L$3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0">#REF!</definedName>
    <definedName name="numeroescenarios" localSheetId="17">#REF!</definedName>
    <definedName name="numeroescenarios">[2]Escenarios!$D$6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0">#REF!</definedName>
    <definedName name="Version" localSheetId="17">#REF!</definedName>
    <definedName name="Version">[1]P.Index!$I$2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3" l="1"/>
  <c r="E17" i="39"/>
  <c r="E25" i="39" s="1"/>
  <c r="E27" i="39" s="1"/>
  <c r="E8" i="39"/>
  <c r="E15" i="39" s="1"/>
  <c r="W11" i="36"/>
  <c r="W10" i="35"/>
  <c r="W10" i="34"/>
  <c r="W10" i="33"/>
  <c r="W19" i="32"/>
  <c r="W10" i="32"/>
  <c r="W14" i="31"/>
  <c r="W16" i="31" s="1"/>
  <c r="W18" i="31" s="1"/>
  <c r="W13" i="31"/>
  <c r="W10" i="31"/>
  <c r="K34" i="40"/>
  <c r="K35" i="40" s="1"/>
  <c r="K31" i="40"/>
  <c r="K25" i="40"/>
  <c r="K17" i="40"/>
  <c r="K12" i="40"/>
  <c r="K6" i="40"/>
  <c r="I12" i="41" l="1"/>
  <c r="H12" i="41"/>
  <c r="G12" i="41"/>
  <c r="E12" i="41"/>
  <c r="F12" i="41" l="1"/>
  <c r="E34" i="26" l="1"/>
  <c r="J12" i="41" l="1"/>
  <c r="J34" i="40"/>
  <c r="I34" i="40"/>
  <c r="H34" i="40"/>
  <c r="G34" i="40"/>
  <c r="F34" i="40"/>
  <c r="E34" i="40"/>
  <c r="J25" i="40"/>
  <c r="J31" i="40" s="1"/>
  <c r="I25" i="40"/>
  <c r="I31" i="40" s="1"/>
  <c r="H25" i="40"/>
  <c r="H31" i="40" s="1"/>
  <c r="G25" i="40"/>
  <c r="G31" i="40" s="1"/>
  <c r="F25" i="40"/>
  <c r="F31" i="40" s="1"/>
  <c r="E25" i="40"/>
  <c r="E31" i="40" s="1"/>
  <c r="J12" i="40"/>
  <c r="I12" i="40"/>
  <c r="H12" i="40"/>
  <c r="G12" i="40"/>
  <c r="F12" i="40"/>
  <c r="E12" i="40"/>
  <c r="J6" i="40"/>
  <c r="I6" i="40"/>
  <c r="I17" i="40" s="1"/>
  <c r="H6" i="40"/>
  <c r="H17" i="40" s="1"/>
  <c r="G6" i="40"/>
  <c r="G17" i="40" s="1"/>
  <c r="F6" i="40"/>
  <c r="F17" i="40" s="1"/>
  <c r="E6" i="40"/>
  <c r="E17" i="40" s="1"/>
  <c r="J17" i="40" l="1"/>
  <c r="E35" i="40"/>
  <c r="F35" i="40"/>
  <c r="G35" i="40"/>
  <c r="H35" i="40"/>
  <c r="I35" i="40"/>
  <c r="J35" i="40"/>
  <c r="K25" i="23" l="1"/>
  <c r="J13" i="19"/>
  <c r="J6" i="19"/>
  <c r="J36" i="19"/>
  <c r="J53" i="19"/>
  <c r="K20" i="23"/>
  <c r="J5" i="19" l="1"/>
  <c r="J22" i="19" s="1"/>
  <c r="J24" i="19" s="1"/>
  <c r="K26" i="23"/>
  <c r="X9" i="36" l="1"/>
  <c r="X8" i="36"/>
  <c r="X7" i="36"/>
  <c r="X6" i="36"/>
  <c r="X5" i="36"/>
  <c r="X9" i="35"/>
  <c r="X8" i="35"/>
  <c r="X7" i="35"/>
  <c r="X6" i="35"/>
  <c r="X5" i="35"/>
  <c r="X8" i="34"/>
  <c r="X7" i="34"/>
  <c r="X6" i="34"/>
  <c r="X5" i="34"/>
  <c r="W19" i="36"/>
  <c r="W18" i="36"/>
  <c r="W17" i="36"/>
  <c r="W18" i="35"/>
  <c r="W17" i="35"/>
  <c r="W16" i="35"/>
  <c r="AN10" i="36"/>
  <c r="AN9" i="36"/>
  <c r="AN8" i="36"/>
  <c r="AN7" i="36"/>
  <c r="AN6" i="36"/>
  <c r="AN5" i="36"/>
  <c r="AN9" i="35"/>
  <c r="AN8" i="35"/>
  <c r="AN7" i="35"/>
  <c r="AN6" i="35"/>
  <c r="AN5" i="35"/>
  <c r="W18" i="34"/>
  <c r="W17" i="34"/>
  <c r="W16" i="34"/>
  <c r="AN9" i="34"/>
  <c r="AN8" i="34"/>
  <c r="AN7" i="34"/>
  <c r="AN6" i="34"/>
  <c r="AN5" i="34"/>
  <c r="AN9" i="33"/>
  <c r="AN8" i="33"/>
  <c r="AN7" i="33"/>
  <c r="AN6" i="33"/>
  <c r="AN5" i="33"/>
  <c r="X9" i="33"/>
  <c r="X8" i="33"/>
  <c r="X7" i="33"/>
  <c r="X6" i="33"/>
  <c r="X5" i="33"/>
  <c r="W18" i="33"/>
  <c r="W17" i="33"/>
  <c r="W16" i="33"/>
  <c r="X28" i="32"/>
  <c r="X27" i="32"/>
  <c r="X26" i="32"/>
  <c r="X25" i="32"/>
  <c r="X24" i="32"/>
  <c r="X18" i="32"/>
  <c r="X17" i="32"/>
  <c r="X16" i="32"/>
  <c r="X9" i="32"/>
  <c r="X8" i="32"/>
  <c r="X7" i="32"/>
  <c r="X6" i="32"/>
  <c r="W26" i="31"/>
  <c r="W25" i="31"/>
  <c r="W24" i="31"/>
  <c r="AM18" i="31"/>
  <c r="AM17" i="31"/>
  <c r="AM16" i="31"/>
  <c r="AM15" i="31"/>
  <c r="AM14" i="31"/>
  <c r="AM13" i="31"/>
  <c r="AM12" i="31"/>
  <c r="AM11" i="31"/>
  <c r="AM10" i="31"/>
  <c r="AM9" i="31"/>
  <c r="AM8" i="31"/>
  <c r="AM7" i="31"/>
  <c r="AM6" i="31"/>
  <c r="AM5" i="31"/>
  <c r="AN18" i="33" l="1"/>
  <c r="AM26" i="31"/>
  <c r="AN17" i="33"/>
  <c r="AN10" i="33"/>
  <c r="AN16" i="35"/>
  <c r="AN17" i="34"/>
  <c r="AM25" i="31"/>
  <c r="AN19" i="36"/>
  <c r="AN18" i="36"/>
  <c r="AN17" i="36"/>
  <c r="AN11" i="36"/>
  <c r="AN17" i="35"/>
  <c r="AN18" i="35"/>
  <c r="AN10" i="35"/>
  <c r="AN10" i="34"/>
  <c r="AN16" i="34"/>
  <c r="AN18" i="34"/>
  <c r="AN16" i="33"/>
  <c r="AM24" i="31"/>
  <c r="J17" i="30" l="1"/>
  <c r="Q5" i="30"/>
  <c r="J9" i="30"/>
  <c r="Q6" i="30"/>
  <c r="Q8" i="29"/>
  <c r="Q5" i="29"/>
  <c r="J15" i="30"/>
  <c r="Q8" i="30"/>
  <c r="Q7" i="30"/>
  <c r="Q8" i="28"/>
  <c r="Q7" i="28"/>
  <c r="J9" i="28"/>
  <c r="Q7" i="14"/>
  <c r="Q5" i="14"/>
  <c r="K18" i="13"/>
  <c r="K17" i="13"/>
  <c r="K16" i="13"/>
  <c r="K15" i="13"/>
  <c r="P18" i="25"/>
  <c r="P16" i="25"/>
  <c r="P14" i="25"/>
  <c r="P11" i="25"/>
  <c r="P7" i="25"/>
  <c r="P6" i="25"/>
  <c r="P5" i="25"/>
  <c r="G8" i="26"/>
  <c r="G6" i="26"/>
  <c r="J16" i="29" l="1"/>
  <c r="J15" i="28"/>
  <c r="J16" i="28"/>
  <c r="J10" i="13"/>
  <c r="G27" i="26"/>
  <c r="G32" i="26" s="1"/>
  <c r="J27" i="25"/>
  <c r="Q9" i="30"/>
  <c r="J9" i="29"/>
  <c r="G14" i="26"/>
  <c r="G19" i="26" s="1"/>
  <c r="G34" i="26"/>
  <c r="G38" i="26" s="1"/>
  <c r="J15" i="14"/>
  <c r="J17" i="29"/>
  <c r="J28" i="13"/>
  <c r="J17" i="28"/>
  <c r="Q5" i="28"/>
  <c r="J19" i="13"/>
  <c r="Q6" i="14"/>
  <c r="Q15" i="14" s="1"/>
  <c r="Q7" i="29"/>
  <c r="J15" i="29"/>
  <c r="J16" i="30"/>
  <c r="Q17" i="30"/>
  <c r="Q16" i="30"/>
  <c r="Q6" i="29"/>
  <c r="Q15" i="30"/>
  <c r="Q6" i="28"/>
  <c r="J17" i="14"/>
  <c r="Q8" i="14"/>
  <c r="J9" i="14"/>
  <c r="J16" i="14"/>
  <c r="J26" i="25"/>
  <c r="J13" i="25"/>
  <c r="P13" i="25" s="1"/>
  <c r="P8" i="25"/>
  <c r="P25" i="25" s="1"/>
  <c r="P9" i="25"/>
  <c r="P26" i="25" s="1"/>
  <c r="J25" i="25"/>
  <c r="P12" i="25"/>
  <c r="J10" i="25"/>
  <c r="G39" i="26" l="1"/>
  <c r="Q16" i="14"/>
  <c r="Q9" i="29"/>
  <c r="Q15" i="29"/>
  <c r="Q17" i="29"/>
  <c r="Q16" i="29"/>
  <c r="Q15" i="28"/>
  <c r="Q9" i="28"/>
  <c r="Q16" i="28"/>
  <c r="Q17" i="28"/>
  <c r="Q17" i="14"/>
  <c r="Q9" i="14"/>
  <c r="J15" i="25"/>
  <c r="P10" i="25"/>
  <c r="P27" i="25"/>
  <c r="J17" i="25" l="1"/>
  <c r="P15" i="25"/>
  <c r="J19" i="25" l="1"/>
  <c r="P19" i="25" s="1"/>
  <c r="P17" i="25"/>
  <c r="K8" i="30" l="1"/>
  <c r="K7" i="30"/>
  <c r="K8" i="29"/>
  <c r="K7" i="29"/>
  <c r="K8" i="28"/>
  <c r="K7" i="28"/>
  <c r="K8" i="14"/>
  <c r="K7" i="14"/>
  <c r="G8" i="39" l="1"/>
  <c r="G15" i="39" s="1"/>
  <c r="G17" i="39"/>
  <c r="G25" i="39" s="1"/>
  <c r="E27" i="26"/>
  <c r="E8" i="26"/>
  <c r="F6" i="26"/>
  <c r="E6" i="26"/>
  <c r="F27" i="26" l="1"/>
  <c r="G27" i="39"/>
  <c r="E38" i="26"/>
  <c r="F8" i="26"/>
  <c r="E32" i="26"/>
  <c r="E14" i="26"/>
  <c r="E19" i="26" s="1"/>
  <c r="F32" i="26"/>
  <c r="F34" i="26"/>
  <c r="F38" i="26" s="1"/>
  <c r="F14" i="26"/>
  <c r="F19" i="26" l="1"/>
  <c r="E39" i="26"/>
  <c r="F39" i="26"/>
  <c r="T19" i="36" l="1"/>
  <c r="S19" i="36"/>
  <c r="X19" i="36" s="1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X18" i="36" s="1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X17" i="36" s="1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X11" i="36" s="1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K10" i="36"/>
  <c r="AJ10" i="36"/>
  <c r="AI10" i="36"/>
  <c r="AH10" i="36"/>
  <c r="AG10" i="36"/>
  <c r="AF10" i="36"/>
  <c r="AE10" i="36"/>
  <c r="AD10" i="36"/>
  <c r="AC10" i="36"/>
  <c r="AB10" i="36"/>
  <c r="AA10" i="36"/>
  <c r="Z10" i="36"/>
  <c r="AL10" i="36"/>
  <c r="AK9" i="36"/>
  <c r="AJ9" i="36"/>
  <c r="AI9" i="36"/>
  <c r="AH9" i="36"/>
  <c r="AG9" i="36"/>
  <c r="AF9" i="36"/>
  <c r="AE9" i="36"/>
  <c r="AD9" i="36"/>
  <c r="AC9" i="36"/>
  <c r="AB9" i="36"/>
  <c r="AA9" i="36"/>
  <c r="Z9" i="36"/>
  <c r="AL9" i="36"/>
  <c r="AK8" i="36"/>
  <c r="AJ8" i="36"/>
  <c r="AI8" i="36"/>
  <c r="AH8" i="36"/>
  <c r="AG8" i="36"/>
  <c r="AF8" i="36"/>
  <c r="AE8" i="36"/>
  <c r="AD8" i="36"/>
  <c r="AC8" i="36"/>
  <c r="AB8" i="36"/>
  <c r="AA8" i="36"/>
  <c r="Z8" i="36"/>
  <c r="AK7" i="36"/>
  <c r="AJ7" i="36"/>
  <c r="AI7" i="36"/>
  <c r="AH7" i="36"/>
  <c r="AG7" i="36"/>
  <c r="AF7" i="36"/>
  <c r="AE7" i="36"/>
  <c r="AD7" i="36"/>
  <c r="AC7" i="36"/>
  <c r="AB7" i="36"/>
  <c r="AA7" i="36"/>
  <c r="Z7" i="36"/>
  <c r="AL7" i="36"/>
  <c r="AK6" i="36"/>
  <c r="AJ6" i="36"/>
  <c r="AI6" i="36"/>
  <c r="AH6" i="36"/>
  <c r="AG6" i="36"/>
  <c r="AF6" i="36"/>
  <c r="AE6" i="36"/>
  <c r="AD6" i="36"/>
  <c r="AC6" i="36"/>
  <c r="AB6" i="36"/>
  <c r="AA6" i="36"/>
  <c r="Z6" i="36"/>
  <c r="AL6" i="36"/>
  <c r="AK5" i="36"/>
  <c r="AJ5" i="36"/>
  <c r="AI5" i="36"/>
  <c r="AH5" i="36"/>
  <c r="AG5" i="36"/>
  <c r="AF5" i="36"/>
  <c r="AE5" i="36"/>
  <c r="AD5" i="36"/>
  <c r="AC5" i="36"/>
  <c r="AB5" i="36"/>
  <c r="AA5" i="36"/>
  <c r="Z5" i="36"/>
  <c r="AL5" i="36"/>
  <c r="T18" i="35"/>
  <c r="S18" i="35"/>
  <c r="X18" i="35" s="1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X17" i="35" s="1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X16" i="35" s="1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X10" i="35" s="1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AL9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AL8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AL7" i="35"/>
  <c r="AK6" i="35"/>
  <c r="AJ6" i="35"/>
  <c r="AI6" i="35"/>
  <c r="AH6" i="35"/>
  <c r="AG6" i="35"/>
  <c r="AF6" i="35"/>
  <c r="AE6" i="35"/>
  <c r="AD6" i="35"/>
  <c r="AC6" i="35"/>
  <c r="AB6" i="35"/>
  <c r="AA6" i="35"/>
  <c r="Z6" i="35"/>
  <c r="AK5" i="35"/>
  <c r="AJ5" i="35"/>
  <c r="AI5" i="35"/>
  <c r="AH5" i="35"/>
  <c r="AG5" i="35"/>
  <c r="AF5" i="35"/>
  <c r="AE5" i="35"/>
  <c r="AD5" i="35"/>
  <c r="AC5" i="35"/>
  <c r="AB5" i="35"/>
  <c r="AA5" i="35"/>
  <c r="Z5" i="35"/>
  <c r="AL5" i="35"/>
  <c r="T18" i="34"/>
  <c r="S18" i="34"/>
  <c r="X18" i="34" s="1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X17" i="34" s="1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X16" i="34" s="1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X10" i="34" s="1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K9" i="34"/>
  <c r="AJ9" i="34"/>
  <c r="AI9" i="34"/>
  <c r="AH9" i="34"/>
  <c r="AG9" i="34"/>
  <c r="AF9" i="34"/>
  <c r="AE9" i="34"/>
  <c r="AD9" i="34"/>
  <c r="AC9" i="34"/>
  <c r="AB9" i="34"/>
  <c r="AA9" i="34"/>
  <c r="Z9" i="34"/>
  <c r="AL9" i="34"/>
  <c r="AK8" i="34"/>
  <c r="AJ8" i="34"/>
  <c r="AI8" i="34"/>
  <c r="AH8" i="34"/>
  <c r="AG8" i="34"/>
  <c r="AF8" i="34"/>
  <c r="AE8" i="34"/>
  <c r="AD8" i="34"/>
  <c r="AC8" i="34"/>
  <c r="AB8" i="34"/>
  <c r="AA8" i="34"/>
  <c r="Z8" i="34"/>
  <c r="AK7" i="34"/>
  <c r="AJ7" i="34"/>
  <c r="AI7" i="34"/>
  <c r="AH7" i="34"/>
  <c r="AG7" i="34"/>
  <c r="AF7" i="34"/>
  <c r="AE7" i="34"/>
  <c r="AD7" i="34"/>
  <c r="AC7" i="34"/>
  <c r="AB7" i="34"/>
  <c r="AA7" i="34"/>
  <c r="Z7" i="34"/>
  <c r="AL7" i="34"/>
  <c r="AK6" i="34"/>
  <c r="AJ6" i="34"/>
  <c r="AI6" i="34"/>
  <c r="AH6" i="34"/>
  <c r="AG6" i="34"/>
  <c r="AG10" i="34" s="1"/>
  <c r="AF6" i="34"/>
  <c r="AE6" i="34"/>
  <c r="AD6" i="34"/>
  <c r="AC6" i="34"/>
  <c r="AB6" i="34"/>
  <c r="AA6" i="34"/>
  <c r="Z6" i="34"/>
  <c r="AK5" i="34"/>
  <c r="AJ5" i="34"/>
  <c r="AI5" i="34"/>
  <c r="AH5" i="34"/>
  <c r="AG5" i="34"/>
  <c r="AF5" i="34"/>
  <c r="AE5" i="34"/>
  <c r="AD5" i="34"/>
  <c r="AC5" i="34"/>
  <c r="AB5" i="34"/>
  <c r="AA5" i="34"/>
  <c r="Z5" i="34"/>
  <c r="AL5" i="34"/>
  <c r="T18" i="33"/>
  <c r="S18" i="33"/>
  <c r="X18" i="33" s="1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X17" i="33" s="1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X16" i="33" s="1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K9" i="33"/>
  <c r="AJ9" i="33"/>
  <c r="AI9" i="33"/>
  <c r="AH9" i="33"/>
  <c r="AG9" i="33"/>
  <c r="AF9" i="33"/>
  <c r="AE9" i="33"/>
  <c r="AD9" i="33"/>
  <c r="AC9" i="33"/>
  <c r="AB9" i="33"/>
  <c r="AA9" i="33"/>
  <c r="Z9" i="33"/>
  <c r="AL9" i="33"/>
  <c r="AK8" i="33"/>
  <c r="AJ8" i="33"/>
  <c r="AI8" i="33"/>
  <c r="AH8" i="33"/>
  <c r="AG8" i="33"/>
  <c r="AF8" i="33"/>
  <c r="AE8" i="33"/>
  <c r="AD8" i="33"/>
  <c r="AC8" i="33"/>
  <c r="AB8" i="33"/>
  <c r="AA8" i="33"/>
  <c r="Z8" i="33"/>
  <c r="AL8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AK6" i="33"/>
  <c r="AJ6" i="33"/>
  <c r="AI6" i="33"/>
  <c r="AH6" i="33"/>
  <c r="AG6" i="33"/>
  <c r="AF6" i="33"/>
  <c r="AE6" i="33"/>
  <c r="AD6" i="33"/>
  <c r="AC6" i="33"/>
  <c r="AB6" i="33"/>
  <c r="AA6" i="33"/>
  <c r="Z6" i="33"/>
  <c r="AL6" i="33"/>
  <c r="AK5" i="33"/>
  <c r="AJ5" i="33"/>
  <c r="AI5" i="33"/>
  <c r="AH5" i="33"/>
  <c r="AG5" i="33"/>
  <c r="AF5" i="33"/>
  <c r="AE5" i="33"/>
  <c r="AD5" i="33"/>
  <c r="AC5" i="33"/>
  <c r="AB5" i="33"/>
  <c r="AA5" i="33"/>
  <c r="Z5" i="33"/>
  <c r="AL5" i="33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T10" i="32"/>
  <c r="S10" i="32"/>
  <c r="X10" i="32" s="1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J17" i="31"/>
  <c r="AI17" i="31"/>
  <c r="AH17" i="31"/>
  <c r="AG17" i="31"/>
  <c r="AF17" i="31"/>
  <c r="AE17" i="31"/>
  <c r="AD17" i="31"/>
  <c r="AC17" i="31"/>
  <c r="AB17" i="31"/>
  <c r="AA17" i="31"/>
  <c r="Z17" i="31"/>
  <c r="Y17" i="31"/>
  <c r="AK17" i="31"/>
  <c r="AJ15" i="31"/>
  <c r="AI15" i="31"/>
  <c r="AH15" i="31"/>
  <c r="AG15" i="31"/>
  <c r="AF15" i="31"/>
  <c r="AE15" i="31"/>
  <c r="AD15" i="31"/>
  <c r="AC15" i="31"/>
  <c r="AB15" i="31"/>
  <c r="AA15" i="31"/>
  <c r="Z15" i="31"/>
  <c r="Y15" i="31"/>
  <c r="AK15" i="31"/>
  <c r="T13" i="31"/>
  <c r="S13" i="31"/>
  <c r="AI13" i="31" s="1"/>
  <c r="R13" i="31"/>
  <c r="Q13" i="31"/>
  <c r="AG13" i="31" s="1"/>
  <c r="O13" i="31"/>
  <c r="AF13" i="31" s="1"/>
  <c r="N13" i="31"/>
  <c r="AD13" i="31" s="1"/>
  <c r="M13" i="31"/>
  <c r="L13" i="31"/>
  <c r="K13" i="31"/>
  <c r="J13" i="31"/>
  <c r="I13" i="31"/>
  <c r="H13" i="31"/>
  <c r="G13" i="31"/>
  <c r="F13" i="31"/>
  <c r="E13" i="31"/>
  <c r="AJ12" i="31"/>
  <c r="AI12" i="31"/>
  <c r="AH12" i="31"/>
  <c r="AG12" i="31"/>
  <c r="AF12" i="31"/>
  <c r="AE12" i="31"/>
  <c r="AD12" i="31"/>
  <c r="AC12" i="31"/>
  <c r="AB12" i="31"/>
  <c r="AA12" i="31"/>
  <c r="Z12" i="31"/>
  <c r="Y12" i="31"/>
  <c r="AK12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AK11" i="31"/>
  <c r="T10" i="31"/>
  <c r="AJ10" i="31" s="1"/>
  <c r="S10" i="31"/>
  <c r="AI10" i="31" s="1"/>
  <c r="R10" i="31"/>
  <c r="Q10" i="31"/>
  <c r="AG10" i="31" s="1"/>
  <c r="O10" i="31"/>
  <c r="AE10" i="31" s="1"/>
  <c r="N10" i="31"/>
  <c r="M10" i="31"/>
  <c r="L10" i="31"/>
  <c r="K10" i="31"/>
  <c r="AA10" i="31" s="1"/>
  <c r="J10" i="31"/>
  <c r="I10" i="31"/>
  <c r="H10" i="31"/>
  <c r="G10" i="31"/>
  <c r="F10" i="31"/>
  <c r="E10" i="31"/>
  <c r="AJ9" i="31"/>
  <c r="AI9" i="31"/>
  <c r="AH9" i="31"/>
  <c r="AG9" i="31"/>
  <c r="AF9" i="31"/>
  <c r="AE9" i="31"/>
  <c r="AD9" i="31"/>
  <c r="AC9" i="31"/>
  <c r="AB9" i="31"/>
  <c r="AA9" i="31"/>
  <c r="Z9" i="31"/>
  <c r="Y9" i="31"/>
  <c r="AK9" i="31"/>
  <c r="AJ8" i="31"/>
  <c r="AI8" i="31"/>
  <c r="AH8" i="31"/>
  <c r="AG8" i="31"/>
  <c r="AF8" i="31"/>
  <c r="AE8" i="31"/>
  <c r="AD8" i="31"/>
  <c r="AC8" i="31"/>
  <c r="AB8" i="31"/>
  <c r="AA8" i="31"/>
  <c r="Z8" i="31"/>
  <c r="Y8" i="31"/>
  <c r="AK8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AK7" i="31"/>
  <c r="AJ6" i="31"/>
  <c r="AI6" i="31"/>
  <c r="AH6" i="31"/>
  <c r="AG6" i="31"/>
  <c r="AF6" i="31"/>
  <c r="AE6" i="31"/>
  <c r="AD6" i="31"/>
  <c r="AC6" i="31"/>
  <c r="AB6" i="31"/>
  <c r="AA6" i="31"/>
  <c r="Z6" i="31"/>
  <c r="Y6" i="31"/>
  <c r="AK6" i="31"/>
  <c r="AJ5" i="31"/>
  <c r="AI5" i="31"/>
  <c r="AH5" i="31"/>
  <c r="AG5" i="31"/>
  <c r="AF5" i="31"/>
  <c r="AE5" i="31"/>
  <c r="AD5" i="31"/>
  <c r="AC5" i="31"/>
  <c r="AB5" i="31"/>
  <c r="AA5" i="31"/>
  <c r="Z5" i="31"/>
  <c r="Y5" i="31"/>
  <c r="AK5" i="31"/>
  <c r="K9" i="13"/>
  <c r="K8" i="13"/>
  <c r="K7" i="13"/>
  <c r="K6" i="13"/>
  <c r="AC10" i="34" l="1"/>
  <c r="AF10" i="33"/>
  <c r="AF26" i="31"/>
  <c r="Z10" i="31"/>
  <c r="AJ19" i="36"/>
  <c r="AJ18" i="36"/>
  <c r="AA10" i="35"/>
  <c r="AD10" i="35"/>
  <c r="AH10" i="34"/>
  <c r="AH10" i="33"/>
  <c r="AF25" i="31"/>
  <c r="AI10" i="33"/>
  <c r="AB16" i="35"/>
  <c r="AA10" i="34"/>
  <c r="Z18" i="34"/>
  <c r="AF11" i="36"/>
  <c r="AB10" i="34"/>
  <c r="Z17" i="34"/>
  <c r="AE10" i="35"/>
  <c r="Z18" i="35"/>
  <c r="E14" i="31"/>
  <c r="E16" i="31" s="1"/>
  <c r="E18" i="31" s="1"/>
  <c r="AB10" i="35"/>
  <c r="AG10" i="33"/>
  <c r="AI10" i="34"/>
  <c r="U18" i="35"/>
  <c r="F14" i="31"/>
  <c r="F16" i="31" s="1"/>
  <c r="F18" i="31" s="1"/>
  <c r="AK17" i="35"/>
  <c r="Z18" i="36"/>
  <c r="G14" i="31"/>
  <c r="G16" i="31" s="1"/>
  <c r="G18" i="31" s="1"/>
  <c r="T14" i="31"/>
  <c r="T16" i="31" s="1"/>
  <c r="AJ10" i="33"/>
  <c r="AC10" i="35"/>
  <c r="Z17" i="35"/>
  <c r="H14" i="31"/>
  <c r="H16" i="31" s="1"/>
  <c r="H18" i="31" s="1"/>
  <c r="AE25" i="31"/>
  <c r="N14" i="31"/>
  <c r="I14" i="31"/>
  <c r="AJ17" i="35"/>
  <c r="Z18" i="33"/>
  <c r="AF10" i="35"/>
  <c r="AB10" i="33"/>
  <c r="AA16" i="33"/>
  <c r="Z17" i="33"/>
  <c r="AD10" i="34"/>
  <c r="AG10" i="35"/>
  <c r="AC10" i="33"/>
  <c r="AA17" i="33"/>
  <c r="AE10" i="34"/>
  <c r="AD10" i="33"/>
  <c r="AF10" i="34"/>
  <c r="AJ11" i="36"/>
  <c r="AB18" i="33"/>
  <c r="AA18" i="34"/>
  <c r="AA17" i="35"/>
  <c r="AE16" i="34"/>
  <c r="AA18" i="36"/>
  <c r="Z26" i="31"/>
  <c r="AE17" i="34"/>
  <c r="AB18" i="36"/>
  <c r="AA26" i="31"/>
  <c r="AH10" i="31"/>
  <c r="J14" i="31"/>
  <c r="AH18" i="33"/>
  <c r="AG18" i="34"/>
  <c r="AF17" i="34"/>
  <c r="AC18" i="36"/>
  <c r="AH26" i="31"/>
  <c r="AC18" i="34"/>
  <c r="Z11" i="36"/>
  <c r="AI25" i="31"/>
  <c r="AC17" i="34"/>
  <c r="AB17" i="35"/>
  <c r="AF18" i="33"/>
  <c r="AB11" i="36"/>
  <c r="AF16" i="34"/>
  <c r="AF18" i="35"/>
  <c r="AB26" i="31"/>
  <c r="AA25" i="31"/>
  <c r="K14" i="31"/>
  <c r="S14" i="31"/>
  <c r="S16" i="31" s="1"/>
  <c r="AI16" i="31" s="1"/>
  <c r="AI18" i="33"/>
  <c r="AG17" i="34"/>
  <c r="AE18" i="34"/>
  <c r="AF17" i="35"/>
  <c r="AG11" i="36"/>
  <c r="AF19" i="36"/>
  <c r="AD18" i="36"/>
  <c r="AB10" i="31"/>
  <c r="AB17" i="33"/>
  <c r="AC10" i="31"/>
  <c r="AA17" i="36"/>
  <c r="AJ26" i="31"/>
  <c r="AD10" i="31"/>
  <c r="AE18" i="33"/>
  <c r="AD17" i="34"/>
  <c r="AB18" i="35"/>
  <c r="AC17" i="36"/>
  <c r="AF17" i="33"/>
  <c r="AB25" i="31"/>
  <c r="L14" i="31"/>
  <c r="AJ18" i="33"/>
  <c r="AI17" i="33"/>
  <c r="AJ10" i="34"/>
  <c r="AI16" i="34"/>
  <c r="AJ10" i="35"/>
  <c r="AH11" i="36"/>
  <c r="AK19" i="36"/>
  <c r="AH13" i="31"/>
  <c r="AB18" i="34"/>
  <c r="Z19" i="36"/>
  <c r="AB17" i="34"/>
  <c r="M14" i="31"/>
  <c r="Z10" i="33"/>
  <c r="AJ17" i="33"/>
  <c r="AB16" i="33"/>
  <c r="AK10" i="34"/>
  <c r="AJ18" i="34"/>
  <c r="AJ16" i="35"/>
  <c r="AJ18" i="35"/>
  <c r="AF18" i="36"/>
  <c r="AA18" i="35"/>
  <c r="AA17" i="34"/>
  <c r="AI26" i="31"/>
  <c r="AD18" i="34"/>
  <c r="AB17" i="36"/>
  <c r="AG18" i="33"/>
  <c r="AD26" i="31"/>
  <c r="AF10" i="31"/>
  <c r="AE26" i="31"/>
  <c r="AD25" i="31"/>
  <c r="Y10" i="31"/>
  <c r="AA10" i="33"/>
  <c r="Z16" i="33"/>
  <c r="AF16" i="33"/>
  <c r="Z10" i="34"/>
  <c r="AJ17" i="34"/>
  <c r="AG16" i="34"/>
  <c r="Z10" i="35"/>
  <c r="Z16" i="35"/>
  <c r="AI19" i="36"/>
  <c r="AH18" i="36"/>
  <c r="AG19" i="36"/>
  <c r="AI11" i="36"/>
  <c r="AH19" i="36"/>
  <c r="AE18" i="36"/>
  <c r="U11" i="36"/>
  <c r="AG18" i="36"/>
  <c r="U18" i="36"/>
  <c r="AK11" i="36"/>
  <c r="AI18" i="36"/>
  <c r="AC11" i="36"/>
  <c r="AK18" i="36"/>
  <c r="AD11" i="36"/>
  <c r="AC19" i="36"/>
  <c r="AG17" i="36"/>
  <c r="AE11" i="36"/>
  <c r="AD19" i="36"/>
  <c r="AE19" i="36"/>
  <c r="AC18" i="35"/>
  <c r="AD18" i="35"/>
  <c r="AE18" i="35"/>
  <c r="AC17" i="35"/>
  <c r="AD17" i="35"/>
  <c r="AG18" i="35"/>
  <c r="AE17" i="35"/>
  <c r="U10" i="35"/>
  <c r="AH18" i="35"/>
  <c r="AK10" i="35"/>
  <c r="AI18" i="35"/>
  <c r="AG17" i="35"/>
  <c r="AD16" i="35"/>
  <c r="AL6" i="35"/>
  <c r="AL10" i="35" s="1"/>
  <c r="AH17" i="35"/>
  <c r="U16" i="35"/>
  <c r="AK16" i="35"/>
  <c r="AI17" i="35"/>
  <c r="AH18" i="34"/>
  <c r="AH17" i="34"/>
  <c r="U10" i="34"/>
  <c r="AI17" i="34"/>
  <c r="AK18" i="34"/>
  <c r="AK17" i="34"/>
  <c r="AL8" i="34"/>
  <c r="AI18" i="34"/>
  <c r="AK16" i="34"/>
  <c r="AK17" i="33"/>
  <c r="AC18" i="33"/>
  <c r="AE10" i="33"/>
  <c r="AD16" i="33"/>
  <c r="AC17" i="33"/>
  <c r="AD17" i="33"/>
  <c r="AE17" i="33"/>
  <c r="AD18" i="33"/>
  <c r="AG17" i="33"/>
  <c r="AK10" i="33"/>
  <c r="AH17" i="33"/>
  <c r="U18" i="33"/>
  <c r="AK18" i="33"/>
  <c r="AC26" i="31"/>
  <c r="AC25" i="31"/>
  <c r="U10" i="31"/>
  <c r="AK10" i="31" s="1"/>
  <c r="AG26" i="31"/>
  <c r="AG25" i="31"/>
  <c r="AH25" i="31"/>
  <c r="Y26" i="31"/>
  <c r="AK25" i="31"/>
  <c r="AJ25" i="31"/>
  <c r="Y25" i="31"/>
  <c r="Z24" i="31"/>
  <c r="Z25" i="31"/>
  <c r="AH24" i="31"/>
  <c r="AB14" i="31"/>
  <c r="L16" i="31"/>
  <c r="J16" i="31"/>
  <c r="AL17" i="33"/>
  <c r="AA14" i="31"/>
  <c r="K16" i="31"/>
  <c r="AK26" i="31"/>
  <c r="AK24" i="31"/>
  <c r="AL17" i="36"/>
  <c r="AA19" i="36"/>
  <c r="U13" i="31"/>
  <c r="AJ13" i="31"/>
  <c r="O14" i="31"/>
  <c r="AI24" i="31"/>
  <c r="U10" i="33"/>
  <c r="AC16" i="33"/>
  <c r="AA18" i="33"/>
  <c r="AH16" i="34"/>
  <c r="AF18" i="34"/>
  <c r="AH10" i="35"/>
  <c r="AA16" i="35"/>
  <c r="AK18" i="35"/>
  <c r="AD17" i="36"/>
  <c r="AB19" i="36"/>
  <c r="Y13" i="31"/>
  <c r="Q14" i="31"/>
  <c r="U24" i="31"/>
  <c r="AJ24" i="31"/>
  <c r="U26" i="31"/>
  <c r="AL7" i="33"/>
  <c r="AL10" i="33" s="1"/>
  <c r="AI10" i="35"/>
  <c r="AL8" i="36"/>
  <c r="AL18" i="36" s="1"/>
  <c r="AE17" i="36"/>
  <c r="Z13" i="31"/>
  <c r="R14" i="31"/>
  <c r="Y24" i="31"/>
  <c r="AE16" i="33"/>
  <c r="U17" i="33"/>
  <c r="U16" i="34"/>
  <c r="AJ16" i="34"/>
  <c r="AC16" i="35"/>
  <c r="AA11" i="36"/>
  <c r="AF17" i="36"/>
  <c r="AA13" i="31"/>
  <c r="U10" i="32"/>
  <c r="AB13" i="31"/>
  <c r="AI14" i="31"/>
  <c r="AA24" i="31"/>
  <c r="AG16" i="33"/>
  <c r="Z16" i="34"/>
  <c r="U18" i="34"/>
  <c r="AE16" i="35"/>
  <c r="U17" i="35"/>
  <c r="AH17" i="36"/>
  <c r="AC13" i="31"/>
  <c r="AB24" i="31"/>
  <c r="U19" i="32"/>
  <c r="AH16" i="33"/>
  <c r="AL6" i="34"/>
  <c r="AA16" i="34"/>
  <c r="AF16" i="35"/>
  <c r="AI17" i="36"/>
  <c r="N16" i="31"/>
  <c r="AC24" i="31"/>
  <c r="AI16" i="33"/>
  <c r="AB16" i="34"/>
  <c r="AG16" i="35"/>
  <c r="U17" i="36"/>
  <c r="AJ17" i="36"/>
  <c r="AE13" i="31"/>
  <c r="AD24" i="31"/>
  <c r="U25" i="31"/>
  <c r="U16" i="33"/>
  <c r="AJ16" i="33"/>
  <c r="AC16" i="34"/>
  <c r="AH16" i="35"/>
  <c r="AK17" i="36"/>
  <c r="AE24" i="31"/>
  <c r="AK16" i="33"/>
  <c r="AD16" i="34"/>
  <c r="AI16" i="35"/>
  <c r="Z17" i="36"/>
  <c r="U19" i="36"/>
  <c r="AF24" i="31"/>
  <c r="U17" i="34"/>
  <c r="AG24" i="31"/>
  <c r="Y14" i="31" l="1"/>
  <c r="Z14" i="31"/>
  <c r="I16" i="31"/>
  <c r="AD14" i="31"/>
  <c r="AL17" i="35"/>
  <c r="S18" i="31"/>
  <c r="AI18" i="31" s="1"/>
  <c r="AJ14" i="31"/>
  <c r="M16" i="31"/>
  <c r="AC16" i="31" s="1"/>
  <c r="AC14" i="31"/>
  <c r="AL19" i="36"/>
  <c r="AL18" i="35"/>
  <c r="AL16" i="35"/>
  <c r="AL10" i="34"/>
  <c r="T18" i="31"/>
  <c r="AJ16" i="31"/>
  <c r="AL11" i="36"/>
  <c r="J18" i="31"/>
  <c r="Z16" i="31"/>
  <c r="AL16" i="34"/>
  <c r="R16" i="31"/>
  <c r="AH14" i="31"/>
  <c r="O16" i="31"/>
  <c r="AF14" i="31"/>
  <c r="AE14" i="31"/>
  <c r="AL18" i="34"/>
  <c r="L18" i="31"/>
  <c r="AB16" i="31"/>
  <c r="U14" i="31"/>
  <c r="AK13" i="31"/>
  <c r="K18" i="31"/>
  <c r="AA18" i="31" s="1"/>
  <c r="AA16" i="31"/>
  <c r="I18" i="31"/>
  <c r="Y18" i="31" s="1"/>
  <c r="Y16" i="31"/>
  <c r="Q16" i="31"/>
  <c r="AG14" i="31"/>
  <c r="N18" i="31"/>
  <c r="AL16" i="33"/>
  <c r="AL18" i="33"/>
  <c r="AL17" i="34"/>
  <c r="AD16" i="31" l="1"/>
  <c r="AJ18" i="31"/>
  <c r="M18" i="31"/>
  <c r="AC18" i="31" s="1"/>
  <c r="AF16" i="31"/>
  <c r="AE16" i="31"/>
  <c r="O18" i="31"/>
  <c r="Z18" i="31"/>
  <c r="AK14" i="31"/>
  <c r="U16" i="31"/>
  <c r="AG16" i="31"/>
  <c r="Q18" i="31"/>
  <c r="AG18" i="31" s="1"/>
  <c r="AH16" i="31"/>
  <c r="R18" i="31"/>
  <c r="AB18" i="31"/>
  <c r="AD18" i="31" l="1"/>
  <c r="AH18" i="31"/>
  <c r="AF18" i="31"/>
  <c r="AE18" i="31"/>
  <c r="U18" i="31"/>
  <c r="AK16" i="31"/>
  <c r="AK18" i="31" l="1"/>
  <c r="H10" i="13"/>
  <c r="G10" i="13"/>
  <c r="F10" i="13"/>
  <c r="K10" i="13" s="1"/>
  <c r="E10" i="13"/>
  <c r="I10" i="13" l="1"/>
  <c r="K37" i="13" l="1"/>
  <c r="K36" i="13"/>
  <c r="K35" i="13"/>
  <c r="K34" i="13"/>
  <c r="K33" i="13"/>
  <c r="K27" i="13"/>
  <c r="K26" i="13"/>
  <c r="I19" i="13" l="1"/>
  <c r="I28" i="13"/>
  <c r="L16" i="25"/>
  <c r="L6" i="25"/>
  <c r="K5" i="14"/>
  <c r="M6" i="14" l="1"/>
  <c r="K6" i="14"/>
  <c r="M6" i="28"/>
  <c r="K6" i="28"/>
  <c r="M5" i="29"/>
  <c r="K5" i="29"/>
  <c r="M6" i="30"/>
  <c r="K6" i="30"/>
  <c r="M5" i="28"/>
  <c r="K5" i="28"/>
  <c r="M6" i="29"/>
  <c r="K6" i="29"/>
  <c r="M5" i="30"/>
  <c r="K5" i="30"/>
  <c r="N16" i="25"/>
  <c r="O6" i="25"/>
  <c r="N6" i="25"/>
  <c r="M6" i="25"/>
  <c r="I13" i="25"/>
  <c r="G26" i="25"/>
  <c r="H25" i="25"/>
  <c r="F13" i="25"/>
  <c r="I26" i="25"/>
  <c r="H13" i="25"/>
  <c r="N5" i="14"/>
  <c r="N5" i="28"/>
  <c r="P6" i="14"/>
  <c r="F26" i="25"/>
  <c r="I27" i="25"/>
  <c r="M5" i="14"/>
  <c r="O5" i="14"/>
  <c r="N6" i="28"/>
  <c r="N6" i="30"/>
  <c r="G25" i="25"/>
  <c r="H16" i="30"/>
  <c r="G13" i="25"/>
  <c r="H27" i="25"/>
  <c r="N6" i="14"/>
  <c r="P5" i="28"/>
  <c r="G15" i="28"/>
  <c r="F27" i="25"/>
  <c r="H16" i="28"/>
  <c r="I16" i="14"/>
  <c r="O6" i="30"/>
  <c r="I25" i="25"/>
  <c r="I10" i="25"/>
  <c r="H26" i="25"/>
  <c r="H10" i="25"/>
  <c r="G10" i="25"/>
  <c r="G27" i="25"/>
  <c r="M16" i="25"/>
  <c r="F10" i="25"/>
  <c r="F25" i="25"/>
  <c r="O6" i="29"/>
  <c r="P6" i="29"/>
  <c r="O5" i="30"/>
  <c r="P5" i="30"/>
  <c r="E16" i="30"/>
  <c r="H16" i="29"/>
  <c r="O6" i="28"/>
  <c r="M7" i="14"/>
  <c r="M15" i="14" s="1"/>
  <c r="P5" i="29"/>
  <c r="E26" i="25"/>
  <c r="H15" i="14"/>
  <c r="G16" i="14"/>
  <c r="H15" i="30"/>
  <c r="E16" i="29"/>
  <c r="O5" i="28"/>
  <c r="I15" i="28"/>
  <c r="E16" i="28"/>
  <c r="F16" i="28"/>
  <c r="K16" i="28" s="1"/>
  <c r="F16" i="30"/>
  <c r="K16" i="30" s="1"/>
  <c r="N5" i="30"/>
  <c r="G16" i="28"/>
  <c r="O5" i="29"/>
  <c r="I16" i="29"/>
  <c r="N6" i="29"/>
  <c r="N5" i="29"/>
  <c r="E13" i="25"/>
  <c r="E10" i="25"/>
  <c r="E27" i="25"/>
  <c r="O16" i="25"/>
  <c r="H16" i="14"/>
  <c r="P6" i="30"/>
  <c r="P6" i="28"/>
  <c r="P5" i="14"/>
  <c r="O6" i="14"/>
  <c r="H15" i="25" l="1"/>
  <c r="H17" i="25" s="1"/>
  <c r="H19" i="25" s="1"/>
  <c r="I15" i="25"/>
  <c r="I17" i="25" s="1"/>
  <c r="I19" i="25" s="1"/>
  <c r="P7" i="28"/>
  <c r="P15" i="28" s="1"/>
  <c r="O8" i="30"/>
  <c r="O16" i="30" s="1"/>
  <c r="G9" i="29"/>
  <c r="E9" i="29"/>
  <c r="E15" i="25"/>
  <c r="E17" i="25" s="1"/>
  <c r="G15" i="25"/>
  <c r="G17" i="25" s="1"/>
  <c r="G19" i="25" s="1"/>
  <c r="E9" i="30"/>
  <c r="O8" i="14"/>
  <c r="O16" i="14" s="1"/>
  <c r="O8" i="28"/>
  <c r="O16" i="28" s="1"/>
  <c r="F15" i="14"/>
  <c r="K15" i="14" s="1"/>
  <c r="I9" i="29"/>
  <c r="G16" i="30"/>
  <c r="G9" i="30"/>
  <c r="P8" i="14"/>
  <c r="P16" i="14" s="1"/>
  <c r="G17" i="30"/>
  <c r="E15" i="29"/>
  <c r="G9" i="28"/>
  <c r="N8" i="28"/>
  <c r="N16" i="28" s="1"/>
  <c r="H9" i="29"/>
  <c r="N7" i="30"/>
  <c r="N15" i="30" s="1"/>
  <c r="G15" i="30"/>
  <c r="H17" i="14"/>
  <c r="G17" i="28"/>
  <c r="I17" i="28"/>
  <c r="E9" i="28"/>
  <c r="M10" i="25"/>
  <c r="L10" i="25"/>
  <c r="F15" i="25"/>
  <c r="F9" i="29"/>
  <c r="K9" i="29" s="1"/>
  <c r="O7" i="30"/>
  <c r="O17" i="30" s="1"/>
  <c r="O8" i="29"/>
  <c r="O16" i="29" s="1"/>
  <c r="M8" i="28"/>
  <c r="M16" i="28" s="1"/>
  <c r="H9" i="14"/>
  <c r="F17" i="14"/>
  <c r="K17" i="14" s="1"/>
  <c r="E17" i="14"/>
  <c r="P7" i="14"/>
  <c r="P15" i="14" s="1"/>
  <c r="H17" i="30"/>
  <c r="E16" i="14"/>
  <c r="E17" i="29"/>
  <c r="P8" i="29"/>
  <c r="P16" i="29" s="1"/>
  <c r="F9" i="30"/>
  <c r="K9" i="30" s="1"/>
  <c r="M8" i="30"/>
  <c r="M16" i="30" s="1"/>
  <c r="N8" i="30"/>
  <c r="N16" i="30" s="1"/>
  <c r="H9" i="30"/>
  <c r="E15" i="30"/>
  <c r="E17" i="30"/>
  <c r="I9" i="28"/>
  <c r="E15" i="28"/>
  <c r="E17" i="28"/>
  <c r="I16" i="28"/>
  <c r="P8" i="28"/>
  <c r="N8" i="14"/>
  <c r="N16" i="14" s="1"/>
  <c r="I15" i="30"/>
  <c r="I17" i="30"/>
  <c r="P7" i="30"/>
  <c r="I9" i="30"/>
  <c r="P8" i="30"/>
  <c r="P16" i="30" s="1"/>
  <c r="I16" i="30"/>
  <c r="F15" i="30"/>
  <c r="K15" i="30" s="1"/>
  <c r="F17" i="30"/>
  <c r="K17" i="30" s="1"/>
  <c r="M7" i="30"/>
  <c r="F17" i="29"/>
  <c r="K17" i="29" s="1"/>
  <c r="M7" i="29"/>
  <c r="F15" i="29"/>
  <c r="K15" i="29" s="1"/>
  <c r="H15" i="29"/>
  <c r="H17" i="29"/>
  <c r="O7" i="29"/>
  <c r="G16" i="29"/>
  <c r="N8" i="29"/>
  <c r="N16" i="29" s="1"/>
  <c r="N7" i="29"/>
  <c r="G17" i="29"/>
  <c r="G15" i="29"/>
  <c r="F16" i="29"/>
  <c r="K16" i="29" s="1"/>
  <c r="M8" i="29"/>
  <c r="M16" i="29" s="1"/>
  <c r="I15" i="29"/>
  <c r="I17" i="29"/>
  <c r="P7" i="29"/>
  <c r="F17" i="28"/>
  <c r="K17" i="28" s="1"/>
  <c r="M7" i="28"/>
  <c r="F15" i="28"/>
  <c r="K15" i="28" s="1"/>
  <c r="H15" i="28"/>
  <c r="H9" i="28"/>
  <c r="H17" i="28"/>
  <c r="O7" i="28"/>
  <c r="N7" i="28"/>
  <c r="F9" i="28"/>
  <c r="I17" i="14"/>
  <c r="I15" i="14"/>
  <c r="I9" i="14"/>
  <c r="F9" i="14"/>
  <c r="G15" i="14"/>
  <c r="N7" i="14"/>
  <c r="G17" i="14"/>
  <c r="G9" i="14"/>
  <c r="F16" i="14"/>
  <c r="K16" i="14" s="1"/>
  <c r="M8" i="14"/>
  <c r="O7" i="14"/>
  <c r="O15" i="14" s="1"/>
  <c r="E9" i="14"/>
  <c r="E15" i="14"/>
  <c r="P9" i="28" l="1"/>
  <c r="O15" i="25"/>
  <c r="O9" i="30"/>
  <c r="M15" i="25"/>
  <c r="N15" i="25"/>
  <c r="P17" i="14"/>
  <c r="N17" i="30"/>
  <c r="P16" i="28"/>
  <c r="N9" i="30"/>
  <c r="P9" i="14"/>
  <c r="O9" i="14"/>
  <c r="F17" i="25"/>
  <c r="F19" i="25" s="1"/>
  <c r="L15" i="25"/>
  <c r="O15" i="30"/>
  <c r="P17" i="28"/>
  <c r="P9" i="30"/>
  <c r="N18" i="25"/>
  <c r="O18" i="25"/>
  <c r="M17" i="30"/>
  <c r="M15" i="30"/>
  <c r="M9" i="30"/>
  <c r="P15" i="30"/>
  <c r="P17" i="30"/>
  <c r="O17" i="29"/>
  <c r="O15" i="29"/>
  <c r="O9" i="29"/>
  <c r="P17" i="29"/>
  <c r="P15" i="29"/>
  <c r="P9" i="29"/>
  <c r="N17" i="29"/>
  <c r="N15" i="29"/>
  <c r="N9" i="29"/>
  <c r="M15" i="29"/>
  <c r="M17" i="29"/>
  <c r="M9" i="29"/>
  <c r="N17" i="28"/>
  <c r="N15" i="28"/>
  <c r="N9" i="28"/>
  <c r="M17" i="28"/>
  <c r="M15" i="28"/>
  <c r="M9" i="28"/>
  <c r="O17" i="28"/>
  <c r="O15" i="28"/>
  <c r="O9" i="28"/>
  <c r="O17" i="14"/>
  <c r="M16" i="14"/>
  <c r="M17" i="14"/>
  <c r="M9" i="14"/>
  <c r="N15" i="14"/>
  <c r="N17" i="14"/>
  <c r="N9" i="14"/>
  <c r="L17" i="25" l="1"/>
  <c r="L14" i="25"/>
  <c r="J26" i="23"/>
  <c r="J25" i="23"/>
  <c r="J20" i="23"/>
  <c r="J9" i="23"/>
  <c r="K53" i="19"/>
  <c r="L51" i="19" s="1"/>
  <c r="K36" i="19"/>
  <c r="L30" i="19" s="1"/>
  <c r="K13" i="19"/>
  <c r="K6" i="19"/>
  <c r="G28" i="13"/>
  <c r="G19" i="13"/>
  <c r="M7" i="25"/>
  <c r="M8" i="25"/>
  <c r="M9" i="25"/>
  <c r="M11" i="25"/>
  <c r="M12" i="25"/>
  <c r="M18" i="25"/>
  <c r="M5" i="25"/>
  <c r="F28" i="13"/>
  <c r="F19" i="13"/>
  <c r="K19" i="13" s="1"/>
  <c r="L12" i="25"/>
  <c r="L9" i="25"/>
  <c r="L18" i="25"/>
  <c r="L13" i="25"/>
  <c r="L7" i="25"/>
  <c r="L5" i="25"/>
  <c r="M26" i="25" l="1"/>
  <c r="L26" i="25"/>
  <c r="M27" i="25"/>
  <c r="M25" i="25"/>
  <c r="M14" i="25"/>
  <c r="M17" i="25"/>
  <c r="M13" i="25"/>
  <c r="L33" i="19"/>
  <c r="K5" i="19"/>
  <c r="K22" i="19" s="1"/>
  <c r="L46" i="19"/>
  <c r="L45" i="19"/>
  <c r="L32" i="19"/>
  <c r="L31" i="19"/>
  <c r="L44" i="19"/>
  <c r="L52" i="19"/>
  <c r="L34" i="19"/>
  <c r="L47" i="19"/>
  <c r="L35" i="19"/>
  <c r="L48" i="19"/>
  <c r="L49" i="19"/>
  <c r="L42" i="19"/>
  <c r="L50" i="19"/>
  <c r="L43" i="19"/>
  <c r="L8" i="25"/>
  <c r="L11" i="25"/>
  <c r="L27" i="25" l="1"/>
  <c r="L25" i="25"/>
  <c r="L53" i="19"/>
  <c r="L36" i="19"/>
  <c r="L14" i="19"/>
  <c r="L6" i="19"/>
  <c r="L8" i="19"/>
  <c r="L21" i="19"/>
  <c r="L13" i="19"/>
  <c r="L20" i="19"/>
  <c r="L12" i="19"/>
  <c r="L9" i="19"/>
  <c r="L19" i="19"/>
  <c r="L11" i="19"/>
  <c r="L17" i="19"/>
  <c r="L18" i="19"/>
  <c r="L10" i="19"/>
  <c r="K24" i="19"/>
  <c r="L15" i="19"/>
  <c r="L7" i="19"/>
  <c r="L16" i="19"/>
  <c r="L5" i="19"/>
  <c r="L22" i="19" l="1"/>
  <c r="L19" i="25"/>
  <c r="M19" i="25" l="1"/>
  <c r="I26" i="23"/>
  <c r="I25" i="23"/>
  <c r="I20" i="23"/>
  <c r="I9" i="23"/>
  <c r="I53" i="19"/>
  <c r="I36" i="19"/>
  <c r="I13" i="19"/>
  <c r="I6" i="19"/>
  <c r="E28" i="13"/>
  <c r="E19" i="13"/>
  <c r="E25" i="25"/>
  <c r="I5" i="19" l="1"/>
  <c r="I22" i="19" s="1"/>
  <c r="I24" i="19" s="1"/>
  <c r="E19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O9" i="25" l="1"/>
  <c r="O8" i="25"/>
  <c r="N9" i="25" l="1"/>
  <c r="N8" i="25"/>
  <c r="O11" i="25"/>
  <c r="H28" i="13"/>
  <c r="H19" i="13"/>
  <c r="N10" i="25" l="1"/>
  <c r="O10" i="25"/>
  <c r="N12" i="25"/>
  <c r="O12" i="25"/>
  <c r="N5" i="25"/>
  <c r="O5" i="25"/>
  <c r="O7" i="25"/>
  <c r="N7" i="25"/>
  <c r="N26" i="25" s="1"/>
  <c r="N11" i="25"/>
  <c r="N25" i="25" l="1"/>
  <c r="O27" i="25"/>
  <c r="O25" i="25"/>
  <c r="O26" i="25"/>
  <c r="N27" i="25"/>
  <c r="O13" i="25"/>
  <c r="N13" i="25"/>
  <c r="N14" i="25" l="1"/>
  <c r="O14" i="25"/>
  <c r="N17" i="25" l="1"/>
  <c r="O17" i="25"/>
  <c r="N19" i="25"/>
  <c r="O19" i="25"/>
  <c r="AM10" i="36" l="1"/>
  <c r="AM9" i="35" l="1"/>
  <c r="AM6" i="35"/>
  <c r="V10" i="35"/>
  <c r="AM8" i="36"/>
  <c r="V16" i="35"/>
  <c r="V18" i="35"/>
  <c r="AM7" i="35"/>
  <c r="AM9" i="34"/>
  <c r="AM6" i="36"/>
  <c r="V17" i="33"/>
  <c r="AM8" i="33"/>
  <c r="V17" i="34"/>
  <c r="AM8" i="34"/>
  <c r="V10" i="34"/>
  <c r="AM6" i="34"/>
  <c r="V17" i="35"/>
  <c r="AM8" i="35"/>
  <c r="V18" i="34"/>
  <c r="V16" i="34"/>
  <c r="AM7" i="34"/>
  <c r="AM6" i="33"/>
  <c r="AM9" i="33"/>
  <c r="AM10" i="35" l="1"/>
  <c r="AM5" i="36"/>
  <c r="AM17" i="33"/>
  <c r="V16" i="33"/>
  <c r="V18" i="33"/>
  <c r="AM7" i="33"/>
  <c r="AM10" i="33" s="1"/>
  <c r="AM5" i="34"/>
  <c r="AM17" i="35"/>
  <c r="AM16" i="35"/>
  <c r="AM18" i="35"/>
  <c r="AM18" i="34"/>
  <c r="AM16" i="34"/>
  <c r="V10" i="32"/>
  <c r="AM5" i="35"/>
  <c r="AM5" i="33"/>
  <c r="AM7" i="36"/>
  <c r="V19" i="36"/>
  <c r="V17" i="36"/>
  <c r="AM10" i="34"/>
  <c r="V11" i="36"/>
  <c r="V10" i="33"/>
  <c r="AM9" i="36"/>
  <c r="AM18" i="36" s="1"/>
  <c r="V18" i="36"/>
  <c r="V19" i="32"/>
  <c r="AM17" i="34"/>
  <c r="AM16" i="33" l="1"/>
  <c r="AM18" i="33"/>
  <c r="AM17" i="36"/>
  <c r="AM19" i="36"/>
  <c r="AM11" i="36"/>
  <c r="AL17" i="31" l="1"/>
  <c r="AL12" i="31"/>
  <c r="AL9" i="31"/>
  <c r="AL5" i="31"/>
  <c r="AL6" i="31" l="1"/>
  <c r="V10" i="31"/>
  <c r="AL7" i="31"/>
  <c r="V26" i="31"/>
  <c r="V24" i="31"/>
  <c r="V25" i="31"/>
  <c r="AL8" i="31"/>
  <c r="AL25" i="31" s="1"/>
  <c r="AL15" i="31"/>
  <c r="AL24" i="31" l="1"/>
  <c r="AL26" i="31"/>
  <c r="AL10" i="31"/>
  <c r="V13" i="31"/>
  <c r="AL13" i="31" s="1"/>
  <c r="AL11" i="31"/>
  <c r="V14" i="31" l="1"/>
  <c r="V16" i="31" l="1"/>
  <c r="AL14" i="31"/>
  <c r="V18" i="31" l="1"/>
  <c r="AL18" i="31" s="1"/>
  <c r="AL16" i="31"/>
</calcChain>
</file>

<file path=xl/sharedStrings.xml><?xml version="1.0" encoding="utf-8"?>
<sst xmlns="http://schemas.openxmlformats.org/spreadsheetml/2006/main" count="1025" uniqueCount="218">
  <si>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</si>
  <si>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</si>
  <si>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</si>
  <si>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</si>
  <si>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</si>
  <si>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</si>
  <si>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</si>
  <si>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</si>
  <si>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</si>
  <si>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</si>
  <si>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</si>
  <si>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</si>
  <si>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</si>
  <si>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</si>
  <si>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</si>
  <si>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</si>
  <si>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</si>
  <si>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</si>
  <si>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</si>
  <si>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</si>
  <si>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</si>
  <si>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</si>
  <si>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</si>
  <si>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</si>
  <si>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</si>
  <si>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</si>
  <si>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</si>
  <si>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</si>
  <si>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</si>
  <si>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</si>
  <si>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</si>
  <si>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</si>
  <si>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</si>
  <si>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</si>
  <si>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</si>
  <si>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</si>
  <si>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</si>
  <si>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</si>
  <si>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</si>
  <si>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</si>
  <si>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</si>
  <si>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</si>
  <si>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</si>
  <si>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</si>
  <si>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</si>
  <si>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</si>
  <si>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</si>
  <si>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</si>
  <si>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</si>
  <si>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</si>
  <si>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</si>
  <si>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</si>
  <si>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</si>
  <si>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</si>
  <si>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</si>
  <si>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</si>
  <si>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</si>
  <si>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</si>
  <si>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</si>
  <si>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</si>
  <si>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</si>
  <si>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</si>
  <si>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</si>
  <si>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</si>
  <si>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</si>
  <si>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</si>
  <si>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</si>
  <si>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</si>
  <si>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</si>
  <si>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</si>
  <si>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Utilidades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</si>
  <si>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</si>
  <si>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</si>
  <si>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</si>
  <si>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</si>
  <si>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</si>
  <si>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</si>
  <si>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</si>
  <si>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</si>
  <si>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</si>
  <si>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</si>
  <si>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</si>
  <si>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</si>
  <si>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</si>
  <si>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</si>
  <si>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</si>
  <si>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</si>
  <si>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</si>
  <si>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</si>
  <si>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</si>
  <si>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</si>
  <si>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</si>
  <si>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</si>
  <si>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</si>
  <si>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</si>
  <si>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</si>
  <si>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</si>
  <si>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</si>
  <si>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</si>
  <si>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</si>
  <si>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</si>
  <si>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</si>
  <si>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</si>
  <si>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</si>
  <si>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</si>
  <si>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</si>
  <si>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</si>
  <si>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</si>
  <si>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</si>
  <si>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</si>
  <si>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</si>
  <si>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</si>
  <si>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</si>
  <si>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</si>
  <si>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</si>
  <si>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</si>
  <si>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</si>
  <si>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</si>
  <si>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</si>
  <si>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</si>
  <si>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</si>
  <si>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</si>
  <si>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</si>
  <si>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</si>
  <si>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</si>
  <si>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</si>
  <si>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</si>
  <si>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</si>
  <si>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</si>
  <si>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</si>
  <si>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</si>
  <si>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</si>
  <si>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</si>
  <si>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</si>
  <si>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</si>
  <si>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</si>
  <si>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</si>
  <si>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</si>
  <si>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</si>
  <si>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</si>
  <si>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</si>
  <si>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</si>
  <si>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</si>
  <si>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</si>
  <si>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</si>
  <si>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</si>
  <si>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</si>
  <si>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</si>
  <si>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</si>
  <si>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</si>
  <si>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</si>
  <si>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</si>
  <si>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</si>
  <si>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</si>
  <si>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</si>
  <si>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</si>
  <si>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</si>
  <si>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</si>
  <si>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</si>
  <si>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</si>
  <si>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</si>
  <si>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</si>
  <si>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</si>
  <si>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</si>
  <si>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</si>
  <si>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</si>
  <si>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</si>
  <si>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</si>
  <si>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</si>
  <si>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</si>
  <si>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</si>
  <si>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</si>
  <si>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</si>
  <si>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</si>
  <si>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</si>
  <si>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</si>
  <si>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</si>
  <si>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</si>
  <si>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</si>
  <si>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</si>
  <si>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</si>
  <si>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</si>
  <si>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</si>
  <si>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</si>
  <si>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</si>
  <si>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</si>
  <si>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</si>
  <si>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</si>
  <si>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</si>
  <si>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</si>
  <si>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</si>
  <si>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</si>
  <si>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</si>
  <si>
    <t>3M 2024</t>
  </si>
  <si>
    <t>1T 2024</t>
  </si>
  <si>
    <t>n.a.</t>
  </si>
  <si>
    <t>BALANCE - NIIF 4</t>
  </si>
  <si>
    <t>Provisión para primas no consumidas</t>
  </si>
  <si>
    <t>Provisión para riesgos en curso</t>
  </si>
  <si>
    <t>Provisión para prestaciones</t>
  </si>
  <si>
    <t>Ajustes por cambios de valor</t>
  </si>
  <si>
    <t>Activos financieros disponibles para la venta</t>
  </si>
  <si>
    <t>Préstamos y partidas a cobrar</t>
  </si>
  <si>
    <t>Participación del reaseguro en las provisiones técnicas</t>
  </si>
  <si>
    <t>Débitos y partidas a pagar</t>
  </si>
  <si>
    <t>Provisiones técnicas</t>
  </si>
  <si>
    <t>Resultado antes de impuestos NIIF 4</t>
  </si>
  <si>
    <t>LIC (bruta y cedida)</t>
  </si>
  <si>
    <t>Plusvalías realizadas en acciones</t>
  </si>
  <si>
    <t>MTM fondos de inversión</t>
  </si>
  <si>
    <t>Acreditación de descuento de intereses</t>
  </si>
  <si>
    <t>Otros ajustes</t>
  </si>
  <si>
    <t>Resultado antes de impuestos NIIF 17&amp;9</t>
  </si>
  <si>
    <t>Deterioro renta fija</t>
  </si>
  <si>
    <t>CONCILIACIÓN RESULTADO NIIF 17&amp;9</t>
  </si>
  <si>
    <t>Ratio combinado (NIIF4 - NIIF17&amp;9)</t>
  </si>
  <si>
    <t>Conciliación Resultado NIIF 17&amp;9</t>
  </si>
  <si>
    <t>NIIF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</si>
</sst>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2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80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Border="1" applyAlignment="1">
      <alignment horizontal="left"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64" fontId="14" fillId="0" borderId="0" xfId="2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166" fontId="13" fillId="0" borderId="14" xfId="1" applyNumberFormat="1" applyFont="1" applyFill="1" applyBorder="1" applyAlignment="1">
      <alignment horizontal="right" vertical="center"/>
    </xf>
    <xf numFmtId="166" fontId="13" fillId="4" borderId="20" xfId="1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1" xfId="0" applyFont="1" applyBorder="1" applyAlignment="1">
      <alignment vertical="center"/>
    </xf>
    <xf numFmtId="166" fontId="13" fillId="0" borderId="21" xfId="0" applyNumberFormat="1" applyFont="1" applyBorder="1" applyAlignment="1">
      <alignment vertical="center"/>
    </xf>
    <xf numFmtId="166" fontId="13" fillId="4" borderId="21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2" xfId="0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4" borderId="22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11" fillId="0" borderId="2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 readingOrder="1"/>
    </xf>
    <xf numFmtId="165" fontId="24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6" fillId="0" borderId="0" xfId="8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8" applyNumberFormat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10">
    <cellStyle name="Hipervínculo" xfId="3" builtinId="8"/>
    <cellStyle name="Hipervínculo 2" xfId="7" xr:uid="{C5B46B00-1F66-40EE-B2FB-22F35DC2D588}"/>
    <cellStyle name="Millares" xfId="1" builtinId="3"/>
    <cellStyle name="Millares 2" xfId="9" xr:uid="{8A9A9307-E3F3-4661-90B2-40E3E30B2CE9}"/>
    <cellStyle name="Normal" xfId="0" builtinId="0"/>
    <cellStyle name="Normal 2" xfId="5" xr:uid="{C66B9D1F-D4C6-4E72-8337-4D5AD793258C}"/>
    <cellStyle name="Normal 2 6" xfId="8" xr:uid="{4E206241-CAEE-474F-A366-8B7236D0D973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734528</xdr:colOff>
      <xdr:row>28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1" y="0"/>
          <a:ext cx="5392252" cy="467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733425</xdr:colOff>
      <xdr:row>28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0" y="0"/>
          <a:ext cx="5391150" cy="4667250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7</xdr:row>
      <xdr:rowOff>12433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15</xdr:row>
      <xdr:rowOff>76286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</a:t>
          </a:r>
        </a:p>
      </xdr:txBody>
    </xdr:sp>
    <xdr:clientData/>
  </xdr:twoCellAnchor>
  <xdr:twoCellAnchor>
    <xdr:from>
      <xdr:col>0</xdr:col>
      <xdr:colOff>112395</xdr:colOff>
      <xdr:row>24</xdr:row>
      <xdr:rowOff>55246</xdr:rowOff>
    </xdr:from>
    <xdr:to>
      <xdr:col>3</xdr:col>
      <xdr:colOff>733425</xdr:colOff>
      <xdr:row>27</xdr:row>
      <xdr:rowOff>47625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4265296"/>
          <a:ext cx="2907030" cy="35432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Resultados a marzo de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8</xdr:row>
      <xdr:rowOff>181417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Suplemento Financiero - NIIF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H29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5" width="12.140625" style="2" customWidth="1"/>
    <col min="6" max="6" width="12" style="2" customWidth="1"/>
    <col min="7" max="7" width="11.5703125" style="2" customWidth="1"/>
    <col min="8" max="8" width="33.85546875" style="10" customWidth="1"/>
    <col min="9" max="16384" width="11.42578125" style="2"/>
  </cols>
  <sheetData>
    <row r="1" spans="8:8" ht="18.75" customHeight="1" x14ac:dyDescent="0.2">
      <c r="H1" s="1" t="s">
        <v>27</v>
      </c>
    </row>
    <row r="2" spans="8:8" ht="7.5" customHeight="1" x14ac:dyDescent="0.2">
      <c r="H2" s="3"/>
    </row>
    <row r="3" spans="8:8" ht="15" customHeight="1" x14ac:dyDescent="0.2">
      <c r="H3" s="4" t="s">
        <v>18</v>
      </c>
    </row>
    <row r="4" spans="8:8" ht="15" customHeight="1" x14ac:dyDescent="0.2">
      <c r="H4" s="5" t="s">
        <v>19</v>
      </c>
    </row>
    <row r="5" spans="8:8" ht="15" customHeight="1" x14ac:dyDescent="0.2">
      <c r="H5" s="5" t="s">
        <v>24</v>
      </c>
    </row>
    <row r="6" spans="8:8" ht="15" customHeight="1" x14ac:dyDescent="0.2">
      <c r="H6" s="5" t="s">
        <v>20</v>
      </c>
    </row>
    <row r="7" spans="8:8" ht="15" customHeight="1" x14ac:dyDescent="0.2">
      <c r="H7" s="6" t="s">
        <v>15</v>
      </c>
    </row>
    <row r="8" spans="8:8" ht="15" customHeight="1" x14ac:dyDescent="0.2">
      <c r="H8" s="6" t="s">
        <v>21</v>
      </c>
    </row>
    <row r="9" spans="8:8" ht="15" customHeight="1" x14ac:dyDescent="0.2">
      <c r="H9" s="6" t="s">
        <v>22</v>
      </c>
    </row>
    <row r="10" spans="8:8" ht="15" customHeight="1" x14ac:dyDescent="0.2">
      <c r="H10" s="6" t="s">
        <v>23</v>
      </c>
    </row>
    <row r="11" spans="8:8" ht="7.5" customHeight="1" x14ac:dyDescent="0.2">
      <c r="H11" s="3"/>
    </row>
    <row r="12" spans="8:8" ht="15" customHeight="1" x14ac:dyDescent="0.2">
      <c r="H12" s="4" t="s">
        <v>113</v>
      </c>
    </row>
    <row r="13" spans="8:8" ht="15" customHeight="1" x14ac:dyDescent="0.2">
      <c r="H13" s="5" t="s">
        <v>19</v>
      </c>
    </row>
    <row r="14" spans="8:8" ht="15" customHeight="1" x14ac:dyDescent="0.2">
      <c r="H14" s="5" t="s">
        <v>24</v>
      </c>
    </row>
    <row r="15" spans="8:8" ht="15" customHeight="1" x14ac:dyDescent="0.2">
      <c r="H15" s="5" t="s">
        <v>20</v>
      </c>
    </row>
    <row r="16" spans="8:8" ht="15" customHeight="1" x14ac:dyDescent="0.2">
      <c r="H16" s="6" t="s">
        <v>15</v>
      </c>
    </row>
    <row r="17" spans="1:8" ht="15" customHeight="1" x14ac:dyDescent="0.2">
      <c r="H17" s="6" t="s">
        <v>21</v>
      </c>
    </row>
    <row r="18" spans="1:8" ht="15" customHeight="1" x14ac:dyDescent="0.2">
      <c r="H18" s="6" t="s">
        <v>22</v>
      </c>
    </row>
    <row r="19" spans="1:8" ht="15" customHeight="1" x14ac:dyDescent="0.2">
      <c r="H19" s="6" t="s">
        <v>23</v>
      </c>
    </row>
    <row r="20" spans="1:8" ht="6.75" customHeight="1" x14ac:dyDescent="0.2">
      <c r="H20" s="3"/>
    </row>
    <row r="21" spans="1:8" x14ac:dyDescent="0.2">
      <c r="H21" s="7" t="s">
        <v>216</v>
      </c>
    </row>
    <row r="22" spans="1:8" ht="7.5" customHeight="1" x14ac:dyDescent="0.2">
      <c r="H22" s="7"/>
    </row>
    <row r="23" spans="1:8" x14ac:dyDescent="0.2">
      <c r="H23" s="7" t="s">
        <v>215</v>
      </c>
    </row>
    <row r="24" spans="1:8" ht="7.5" customHeight="1" x14ac:dyDescent="0.2">
      <c r="H24" s="7"/>
    </row>
    <row r="25" spans="1:8" x14ac:dyDescent="0.2">
      <c r="H25" s="7" t="s">
        <v>25</v>
      </c>
    </row>
    <row r="26" spans="1:8" ht="7.5" customHeight="1" x14ac:dyDescent="0.2">
      <c r="H26" s="7"/>
    </row>
    <row r="27" spans="1:8" x14ac:dyDescent="0.2">
      <c r="H27" s="7" t="s">
        <v>26</v>
      </c>
    </row>
    <row r="28" spans="1:8" ht="7.5" customHeight="1" x14ac:dyDescent="0.2">
      <c r="H28" s="3"/>
    </row>
    <row r="29" spans="1:8" ht="3" customHeight="1" x14ac:dyDescent="0.2">
      <c r="A29" s="8"/>
      <c r="B29" s="8"/>
      <c r="C29" s="8"/>
      <c r="D29" s="8"/>
      <c r="E29" s="8"/>
      <c r="F29" s="8"/>
      <c r="G29" s="8"/>
      <c r="H29" s="9"/>
    </row>
  </sheetData>
  <hyperlinks>
    <hyperlink ref="H4" location="'Balance - NIIF 17&amp;9'!A1" display="Balance" xr:uid="{FE2BEE06-75C7-458B-8E29-1B6FC9F4F468}"/>
    <hyperlink ref="H5" location="'P&amp;G - NIIF 17&amp;9'!A1" display="Cuenta de Resultados" xr:uid="{8C6665BE-6ED0-43FA-91AF-EBEDC746B0DA}"/>
    <hyperlink ref="H6" location="'Líneas de Negocio - NIIF 17&amp;9'!A1" display="Líneas de Negocio" xr:uid="{E70D77EB-26A1-41E1-AB47-54ADE5E3CC66}"/>
    <hyperlink ref="H8" location="'Hogar - NIIF 17&amp;9'!A1" display="Hogar" xr:uid="{AB5156D6-EA76-429A-BBDD-3B3C1DC45395}"/>
    <hyperlink ref="H9" location="'Salud - NIIF 17&amp;9'!A1" display="Salud" xr:uid="{F029259D-3D98-4A75-8E82-F7BA2FDA8A97}"/>
    <hyperlink ref="H10" location="'Otros - NIIF 17&amp;9'!A1" display="Otros" xr:uid="{E00B0154-20B2-4BDE-9A31-EDF9564A2FB3}"/>
    <hyperlink ref="H25" location="Inversiones!A1" display="Inversiones" xr:uid="{B737B1AA-133E-49F4-B9D1-C05F75064CE0}"/>
    <hyperlink ref="H27" location="Solvencia!A1" display="Solvencia" xr:uid="{008650B0-7C88-4A41-8497-3E1E93E0CC5E}"/>
    <hyperlink ref="H7" location="'Motor - NIIF 17&amp;9'!A1" display="Motor" xr:uid="{FE9C15AC-4688-4226-814C-BEE32E925A47}"/>
    <hyperlink ref="H14" location="'P&amp;G - NIIF 4'!A1" display="Cuenta de Resultados" xr:uid="{A2E814B9-2EB9-465F-8ECB-28DCD336A81C}"/>
    <hyperlink ref="H15" location="'Líneas de Negocio - NIIF 4'!A1" display="Líneas de Negocio" xr:uid="{11689757-B3F6-428C-8D60-3BF86FFD9A3E}"/>
    <hyperlink ref="H16" location="'Motor - NIIF 4'!A1" display="Motor" xr:uid="{1A20652F-C454-4CB8-9EAD-5D022499294E}"/>
    <hyperlink ref="H17" location="'Hogar - NIIF 4'!A1" display="Hogar" xr:uid="{19B8343C-592B-415F-8EF4-E6C9ED2D6CCA}"/>
    <hyperlink ref="H18" location="'Salud - NIIF 4'!A1" display="Salud" xr:uid="{2B6417BA-6DEC-4F58-9516-F1461FF09303}"/>
    <hyperlink ref="H19" location="'Otros - NIIF 4'!A1" display="Otros" xr:uid="{6DAAA5AE-A4DB-426E-82AA-10860501E1AD}"/>
    <hyperlink ref="H23" location="'Ratio Combinado'!A1" display="Ratio combinado (NIIF4 - NIIF17)" xr:uid="{3E5E2347-E93E-494C-B4FF-CEF2612FDAE8}"/>
    <hyperlink ref="H13" location="'Balance - NIIF 4'!A1" display="Balance" xr:uid="{BA4E8932-DF26-4E5F-8FA5-BE72105830B0}"/>
    <hyperlink ref="H21" location="'Conciliación resultado NIIF17&amp;9'!A1" display="Conciliación Resultado NIIF 17&amp;9" xr:uid="{638B3546-662E-4BEB-BC3D-4306D547D819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BB4A-F684-4EED-85A6-1D461D191787}">
  <sheetPr>
    <tabColor theme="2" tint="-9.9978637043366805E-2"/>
  </sheetPr>
  <dimension ref="B1:K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0" width="13.28515625" style="13" customWidth="1"/>
    <col min="11" max="11" width="13.140625" style="13" customWidth="1"/>
    <col min="12" max="16384" width="11.42578125" style="13"/>
  </cols>
  <sheetData>
    <row r="1" spans="2:11" ht="16.5" customHeight="1" x14ac:dyDescent="0.25">
      <c r="B1" s="12"/>
    </row>
    <row r="2" spans="2:11" ht="18.75" customHeight="1" thickBot="1" x14ac:dyDescent="0.3">
      <c r="B2" s="11" t="s">
        <v>27</v>
      </c>
      <c r="D2" s="14" t="s">
        <v>196</v>
      </c>
      <c r="E2" s="15"/>
      <c r="F2" s="15"/>
      <c r="G2" s="15"/>
      <c r="H2" s="15"/>
      <c r="I2" s="15"/>
      <c r="J2" s="15"/>
      <c r="K2" s="15"/>
    </row>
    <row r="3" spans="2:11" x14ac:dyDescent="0.25">
      <c r="D3" s="168"/>
      <c r="E3" s="168"/>
      <c r="F3" s="168"/>
      <c r="G3" s="168"/>
      <c r="H3" s="168"/>
      <c r="I3" s="168"/>
      <c r="J3" s="168"/>
    </row>
    <row r="4" spans="2:11" ht="15" thickBot="1" x14ac:dyDescent="0.3">
      <c r="D4" s="16" t="s">
        <v>28</v>
      </c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95</v>
      </c>
      <c r="K4" s="34" t="s">
        <v>193</v>
      </c>
    </row>
    <row r="5" spans="2:11" x14ac:dyDescent="0.25">
      <c r="B5" s="173"/>
      <c r="D5" s="46" t="s">
        <v>150</v>
      </c>
      <c r="E5" s="55">
        <v>166776</v>
      </c>
      <c r="F5" s="55">
        <v>144937</v>
      </c>
      <c r="G5" s="55">
        <v>162500</v>
      </c>
      <c r="H5" s="55">
        <v>115788</v>
      </c>
      <c r="I5" s="55">
        <v>51661</v>
      </c>
      <c r="J5" s="55">
        <v>41746</v>
      </c>
      <c r="K5" s="56">
        <v>64435</v>
      </c>
    </row>
    <row r="6" spans="2:11" x14ac:dyDescent="0.25">
      <c r="B6" s="173"/>
      <c r="D6" s="46" t="s">
        <v>201</v>
      </c>
      <c r="E6" s="55">
        <f t="shared" ref="E6:J6" si="0">SUM(E7:E8)</f>
        <v>782715</v>
      </c>
      <c r="F6" s="55">
        <f t="shared" si="0"/>
        <v>834498</v>
      </c>
      <c r="G6" s="55">
        <f t="shared" si="0"/>
        <v>917074</v>
      </c>
      <c r="H6" s="55">
        <f t="shared" si="0"/>
        <v>864978</v>
      </c>
      <c r="I6" s="55">
        <f t="shared" si="0"/>
        <v>739664</v>
      </c>
      <c r="J6" s="55">
        <f t="shared" si="0"/>
        <v>871806</v>
      </c>
      <c r="K6" s="56">
        <f t="shared" ref="K6" si="1">SUM(K7:K8)</f>
        <v>869924</v>
      </c>
    </row>
    <row r="7" spans="2:11" x14ac:dyDescent="0.25">
      <c r="D7" s="22" t="s">
        <v>152</v>
      </c>
      <c r="E7" s="55">
        <v>88763</v>
      </c>
      <c r="F7" s="55">
        <v>116688</v>
      </c>
      <c r="G7" s="55">
        <v>125855</v>
      </c>
      <c r="H7" s="55">
        <v>153963</v>
      </c>
      <c r="I7" s="55">
        <v>120886</v>
      </c>
      <c r="J7" s="55">
        <v>117523</v>
      </c>
      <c r="K7" s="56">
        <v>131021</v>
      </c>
    </row>
    <row r="8" spans="2:11" x14ac:dyDescent="0.25">
      <c r="D8" s="22" t="s">
        <v>154</v>
      </c>
      <c r="E8" s="55">
        <v>693952</v>
      </c>
      <c r="F8" s="55">
        <v>717810</v>
      </c>
      <c r="G8" s="55">
        <v>791219</v>
      </c>
      <c r="H8" s="55">
        <v>711015</v>
      </c>
      <c r="I8" s="55">
        <v>618778</v>
      </c>
      <c r="J8" s="55">
        <v>754283</v>
      </c>
      <c r="K8" s="56">
        <v>738903</v>
      </c>
    </row>
    <row r="9" spans="2:11" x14ac:dyDescent="0.25">
      <c r="B9" s="173"/>
      <c r="D9" s="46" t="s">
        <v>202</v>
      </c>
      <c r="E9" s="55">
        <v>115951</v>
      </c>
      <c r="F9" s="55">
        <v>106760</v>
      </c>
      <c r="G9" s="55">
        <v>110373</v>
      </c>
      <c r="H9" s="55">
        <v>120615</v>
      </c>
      <c r="I9" s="55">
        <v>123448</v>
      </c>
      <c r="J9" s="55">
        <v>118303</v>
      </c>
      <c r="K9" s="56">
        <v>119694</v>
      </c>
    </row>
    <row r="10" spans="2:11" x14ac:dyDescent="0.25">
      <c r="B10" s="173"/>
      <c r="D10" s="46" t="s">
        <v>156</v>
      </c>
      <c r="E10" s="55">
        <v>0</v>
      </c>
      <c r="F10" s="55">
        <v>0</v>
      </c>
      <c r="G10" s="55">
        <v>0</v>
      </c>
      <c r="H10" s="55">
        <v>0</v>
      </c>
      <c r="I10" s="55">
        <v>7808</v>
      </c>
      <c r="J10" s="55">
        <v>5492</v>
      </c>
      <c r="K10" s="56">
        <v>5147</v>
      </c>
    </row>
    <row r="11" spans="2:11" x14ac:dyDescent="0.25">
      <c r="B11" s="173"/>
      <c r="D11" s="46" t="s">
        <v>203</v>
      </c>
      <c r="E11" s="55">
        <v>7318</v>
      </c>
      <c r="F11" s="55">
        <v>9517</v>
      </c>
      <c r="G11" s="55">
        <v>12477</v>
      </c>
      <c r="H11" s="55">
        <v>20153</v>
      </c>
      <c r="I11" s="55">
        <v>19263</v>
      </c>
      <c r="J11" s="55">
        <v>29214</v>
      </c>
      <c r="K11" s="56">
        <v>27980</v>
      </c>
    </row>
    <row r="12" spans="2:11" x14ac:dyDescent="0.25">
      <c r="B12" s="173"/>
      <c r="D12" s="46" t="s">
        <v>158</v>
      </c>
      <c r="E12" s="55">
        <f t="shared" ref="E12:K12" si="2">SUM(E13:E14)</f>
        <v>110844</v>
      </c>
      <c r="F12" s="55">
        <f t="shared" si="2"/>
        <v>114588</v>
      </c>
      <c r="G12" s="55">
        <f t="shared" si="2"/>
        <v>111282</v>
      </c>
      <c r="H12" s="55">
        <f t="shared" si="2"/>
        <v>110721</v>
      </c>
      <c r="I12" s="55">
        <f t="shared" si="2"/>
        <v>110044</v>
      </c>
      <c r="J12" s="55">
        <f t="shared" si="2"/>
        <v>101601</v>
      </c>
      <c r="K12" s="56">
        <f t="shared" si="2"/>
        <v>100919</v>
      </c>
    </row>
    <row r="13" spans="2:11" x14ac:dyDescent="0.25">
      <c r="D13" s="22" t="s">
        <v>159</v>
      </c>
      <c r="E13" s="55">
        <v>43386</v>
      </c>
      <c r="F13" s="55">
        <v>47918</v>
      </c>
      <c r="G13" s="55">
        <v>45334</v>
      </c>
      <c r="H13" s="55">
        <v>45264</v>
      </c>
      <c r="I13" s="55">
        <v>45368</v>
      </c>
      <c r="J13" s="55">
        <v>43082</v>
      </c>
      <c r="K13" s="56">
        <v>42561</v>
      </c>
    </row>
    <row r="14" spans="2:11" x14ac:dyDescent="0.25">
      <c r="D14" s="22" t="s">
        <v>160</v>
      </c>
      <c r="E14" s="55">
        <v>67458</v>
      </c>
      <c r="F14" s="55">
        <v>66670</v>
      </c>
      <c r="G14" s="55">
        <v>65948</v>
      </c>
      <c r="H14" s="55">
        <v>65457</v>
      </c>
      <c r="I14" s="55">
        <v>64676</v>
      </c>
      <c r="J14" s="55">
        <v>58519</v>
      </c>
      <c r="K14" s="56">
        <v>58358</v>
      </c>
    </row>
    <row r="15" spans="2:11" x14ac:dyDescent="0.25">
      <c r="B15" s="173"/>
      <c r="D15" s="46" t="s">
        <v>161</v>
      </c>
      <c r="E15" s="55">
        <v>7593</v>
      </c>
      <c r="F15" s="55">
        <v>11845</v>
      </c>
      <c r="G15" s="55">
        <v>12688</v>
      </c>
      <c r="H15" s="55">
        <v>14121</v>
      </c>
      <c r="I15" s="55">
        <v>14482</v>
      </c>
      <c r="J15" s="55">
        <v>29188</v>
      </c>
      <c r="K15" s="56">
        <v>30864</v>
      </c>
    </row>
    <row r="16" spans="2:11" ht="15" thickBot="1" x14ac:dyDescent="0.3">
      <c r="B16" s="173"/>
      <c r="D16" s="46" t="s">
        <v>162</v>
      </c>
      <c r="E16" s="55">
        <v>109552</v>
      </c>
      <c r="F16" s="55">
        <v>114481</v>
      </c>
      <c r="G16" s="55">
        <v>110139</v>
      </c>
      <c r="H16" s="55">
        <v>122102</v>
      </c>
      <c r="I16" s="55">
        <v>129045</v>
      </c>
      <c r="J16" s="55">
        <v>114223</v>
      </c>
      <c r="K16" s="56">
        <v>113972</v>
      </c>
    </row>
    <row r="17" spans="2:11" ht="15" thickBot="1" x14ac:dyDescent="0.3">
      <c r="D17" s="169" t="s">
        <v>163</v>
      </c>
      <c r="E17" s="41">
        <f>SUM(E5,E6,E9,E11,E12,E15,E16)</f>
        <v>1300749</v>
      </c>
      <c r="F17" s="41">
        <f t="shared" ref="F17:H17" si="3">SUM(F5,F6,F9,F11,F12,F15,F16)</f>
        <v>1336626</v>
      </c>
      <c r="G17" s="41">
        <f t="shared" si="3"/>
        <v>1436533</v>
      </c>
      <c r="H17" s="41">
        <f t="shared" si="3"/>
        <v>1368478</v>
      </c>
      <c r="I17" s="41">
        <f>SUM(I5,I6,I9,I11,I12,I15,I16,I10)</f>
        <v>1195415</v>
      </c>
      <c r="J17" s="41">
        <f>SUM(J5,J6,J9,J11,J12,J15,J16,J10)</f>
        <v>1311573</v>
      </c>
      <c r="K17" s="42">
        <f>SUM(K5,K6,K9,K11,K12,K15,K16,K10)</f>
        <v>1332935</v>
      </c>
    </row>
    <row r="18" spans="2:11" s="10" customFormat="1" ht="9" customHeight="1" x14ac:dyDescent="0.25">
      <c r="D18" s="31"/>
      <c r="E18" s="43"/>
      <c r="F18" s="43"/>
      <c r="G18" s="43"/>
      <c r="H18" s="43"/>
      <c r="I18" s="43"/>
      <c r="J18" s="43"/>
      <c r="K18" s="43"/>
    </row>
    <row r="19" spans="2:11" s="10" customFormat="1" x14ac:dyDescent="0.25">
      <c r="D19" s="52"/>
      <c r="E19" s="87"/>
      <c r="F19" s="87"/>
      <c r="G19" s="87"/>
      <c r="H19" s="170"/>
      <c r="I19" s="170"/>
      <c r="J19" s="27"/>
      <c r="K19" s="27" t="s">
        <v>29</v>
      </c>
    </row>
    <row r="20" spans="2:11" x14ac:dyDescent="0.25">
      <c r="D20" s="171"/>
      <c r="E20" s="172"/>
      <c r="F20" s="172"/>
      <c r="G20" s="172"/>
      <c r="H20" s="172"/>
      <c r="I20" s="172"/>
      <c r="J20" s="172"/>
    </row>
    <row r="21" spans="2:11" x14ac:dyDescent="0.25">
      <c r="D21" s="173"/>
      <c r="E21" s="173"/>
      <c r="F21" s="173"/>
      <c r="G21" s="173"/>
      <c r="H21" s="173"/>
      <c r="I21" s="173"/>
      <c r="J21" s="173"/>
    </row>
    <row r="22" spans="2:11" ht="15" thickBot="1" x14ac:dyDescent="0.3">
      <c r="D22" s="16" t="s">
        <v>42</v>
      </c>
      <c r="E22" s="33" t="s">
        <v>6</v>
      </c>
      <c r="F22" s="33" t="s">
        <v>3</v>
      </c>
      <c r="G22" s="33" t="s">
        <v>4</v>
      </c>
      <c r="H22" s="33" t="s">
        <v>14</v>
      </c>
      <c r="I22" s="33" t="s">
        <v>16</v>
      </c>
      <c r="J22" s="33" t="s">
        <v>95</v>
      </c>
      <c r="K22" s="34" t="s">
        <v>193</v>
      </c>
    </row>
    <row r="23" spans="2:11" x14ac:dyDescent="0.25">
      <c r="B23" s="173"/>
      <c r="D23" s="46" t="s">
        <v>204</v>
      </c>
      <c r="E23" s="55">
        <v>211889</v>
      </c>
      <c r="F23" s="55">
        <v>207608</v>
      </c>
      <c r="G23" s="55">
        <v>174445</v>
      </c>
      <c r="H23" s="55">
        <v>175406</v>
      </c>
      <c r="I23" s="55">
        <v>59288</v>
      </c>
      <c r="J23" s="55">
        <v>63271</v>
      </c>
      <c r="K23" s="56">
        <v>64267</v>
      </c>
    </row>
    <row r="24" spans="2:11" x14ac:dyDescent="0.25">
      <c r="B24" s="173"/>
      <c r="D24" s="46" t="s">
        <v>156</v>
      </c>
      <c r="E24" s="55">
        <v>3385</v>
      </c>
      <c r="F24" s="55">
        <v>13584</v>
      </c>
      <c r="G24" s="55">
        <v>15167</v>
      </c>
      <c r="H24" s="55">
        <v>9447</v>
      </c>
      <c r="I24" s="55">
        <v>0</v>
      </c>
      <c r="J24" s="55">
        <v>0</v>
      </c>
      <c r="K24" s="56">
        <v>0</v>
      </c>
    </row>
    <row r="25" spans="2:11" x14ac:dyDescent="0.25">
      <c r="B25" s="173"/>
      <c r="D25" s="46" t="s">
        <v>205</v>
      </c>
      <c r="E25" s="55">
        <f t="shared" ref="E25:K25" si="4">SUM(E26:E28)</f>
        <v>725891</v>
      </c>
      <c r="F25" s="55">
        <f t="shared" si="4"/>
        <v>725860</v>
      </c>
      <c r="G25" s="55">
        <f t="shared" si="4"/>
        <v>716491</v>
      </c>
      <c r="H25" s="55">
        <f t="shared" si="4"/>
        <v>738158</v>
      </c>
      <c r="I25" s="55">
        <f t="shared" si="4"/>
        <v>791040</v>
      </c>
      <c r="J25" s="55">
        <f t="shared" si="4"/>
        <v>891048</v>
      </c>
      <c r="K25" s="56">
        <f t="shared" si="4"/>
        <v>898422</v>
      </c>
    </row>
    <row r="26" spans="2:11" x14ac:dyDescent="0.25">
      <c r="D26" s="22" t="s">
        <v>197</v>
      </c>
      <c r="E26" s="55">
        <v>428118</v>
      </c>
      <c r="F26" s="55">
        <v>443115</v>
      </c>
      <c r="G26" s="55">
        <v>446423</v>
      </c>
      <c r="H26" s="55">
        <v>449740</v>
      </c>
      <c r="I26" s="55">
        <v>470783</v>
      </c>
      <c r="J26" s="55">
        <v>483431</v>
      </c>
      <c r="K26" s="56">
        <v>492252</v>
      </c>
    </row>
    <row r="27" spans="2:11" x14ac:dyDescent="0.25">
      <c r="D27" s="22" t="s">
        <v>198</v>
      </c>
      <c r="E27" s="55">
        <v>0</v>
      </c>
      <c r="F27" s="55">
        <v>6115</v>
      </c>
      <c r="G27" s="55">
        <v>4622</v>
      </c>
      <c r="H27" s="55">
        <v>3280</v>
      </c>
      <c r="I27" s="55">
        <v>2378</v>
      </c>
      <c r="J27" s="55">
        <v>2686</v>
      </c>
      <c r="K27" s="56">
        <v>2686</v>
      </c>
    </row>
    <row r="28" spans="2:11" x14ac:dyDescent="0.25">
      <c r="D28" s="22" t="s">
        <v>199</v>
      </c>
      <c r="E28" s="55">
        <v>297773</v>
      </c>
      <c r="F28" s="55">
        <v>276630</v>
      </c>
      <c r="G28" s="55">
        <v>265446</v>
      </c>
      <c r="H28" s="55">
        <v>285138</v>
      </c>
      <c r="I28" s="55">
        <v>317879</v>
      </c>
      <c r="J28" s="55">
        <v>404931</v>
      </c>
      <c r="K28" s="56">
        <v>403484</v>
      </c>
    </row>
    <row r="29" spans="2:11" x14ac:dyDescent="0.25">
      <c r="B29" s="173"/>
      <c r="D29" s="46" t="s">
        <v>166</v>
      </c>
      <c r="E29" s="55">
        <v>24652</v>
      </c>
      <c r="F29" s="55">
        <v>22816</v>
      </c>
      <c r="G29" s="55">
        <v>16849</v>
      </c>
      <c r="H29" s="55">
        <v>22133</v>
      </c>
      <c r="I29" s="55">
        <v>26118</v>
      </c>
      <c r="J29" s="55">
        <v>28949</v>
      </c>
      <c r="K29" s="56">
        <v>26541</v>
      </c>
    </row>
    <row r="30" spans="2:11" ht="15" thickBot="1" x14ac:dyDescent="0.3">
      <c r="B30" s="173"/>
      <c r="D30" s="46" t="s">
        <v>167</v>
      </c>
      <c r="E30" s="55">
        <v>46728</v>
      </c>
      <c r="F30" s="55">
        <v>41698</v>
      </c>
      <c r="G30" s="55">
        <v>46222</v>
      </c>
      <c r="H30" s="55">
        <v>45059</v>
      </c>
      <c r="I30" s="55">
        <v>28469</v>
      </c>
      <c r="J30" s="55">
        <v>26999</v>
      </c>
      <c r="K30" s="56">
        <v>31482</v>
      </c>
    </row>
    <row r="31" spans="2:11" ht="15" thickBot="1" x14ac:dyDescent="0.3">
      <c r="D31" s="169" t="s">
        <v>43</v>
      </c>
      <c r="E31" s="58">
        <f t="shared" ref="E31:F31" si="5">SUM(E30,E29,E25,E24,E23)</f>
        <v>1012545</v>
      </c>
      <c r="F31" s="58">
        <f t="shared" si="5"/>
        <v>1011566</v>
      </c>
      <c r="G31" s="58">
        <f>SUM(G30,G29,G25,G24,G23)</f>
        <v>969174</v>
      </c>
      <c r="H31" s="58">
        <f t="shared" ref="H31:K31" si="6">SUM(H30,H29,H25,H24,H23)</f>
        <v>990203</v>
      </c>
      <c r="I31" s="58">
        <f t="shared" si="6"/>
        <v>904915</v>
      </c>
      <c r="J31" s="58">
        <f t="shared" si="6"/>
        <v>1010267</v>
      </c>
      <c r="K31" s="59">
        <f t="shared" si="6"/>
        <v>1020712</v>
      </c>
    </row>
    <row r="32" spans="2:11" x14ac:dyDescent="0.25">
      <c r="D32" s="46" t="s">
        <v>44</v>
      </c>
      <c r="E32" s="55">
        <v>273634</v>
      </c>
      <c r="F32" s="55">
        <v>287881</v>
      </c>
      <c r="G32" s="55">
        <v>422727</v>
      </c>
      <c r="H32" s="55">
        <v>334909</v>
      </c>
      <c r="I32" s="55">
        <v>320356</v>
      </c>
      <c r="J32" s="55">
        <v>309473</v>
      </c>
      <c r="K32" s="56">
        <v>318736</v>
      </c>
    </row>
    <row r="33" spans="4:11" ht="15" thickBot="1" x14ac:dyDescent="0.3">
      <c r="D33" s="46" t="s">
        <v>200</v>
      </c>
      <c r="E33" s="55">
        <v>14570</v>
      </c>
      <c r="F33" s="55">
        <v>37179</v>
      </c>
      <c r="G33" s="55">
        <v>44632</v>
      </c>
      <c r="H33" s="55">
        <v>43366</v>
      </c>
      <c r="I33" s="55">
        <v>-29856</v>
      </c>
      <c r="J33" s="55">
        <v>-8167</v>
      </c>
      <c r="K33" s="56">
        <v>-6513</v>
      </c>
    </row>
    <row r="34" spans="4:11" ht="15" thickBot="1" x14ac:dyDescent="0.3">
      <c r="D34" s="169" t="s">
        <v>45</v>
      </c>
      <c r="E34" s="58">
        <f t="shared" ref="E34:F34" si="7">SUM(E32:E33)</f>
        <v>288204</v>
      </c>
      <c r="F34" s="58">
        <f t="shared" si="7"/>
        <v>325060</v>
      </c>
      <c r="G34" s="58">
        <f>SUM(G32:G33)</f>
        <v>467359</v>
      </c>
      <c r="H34" s="58">
        <f t="shared" ref="H34:K34" si="8">SUM(H32:H33)</f>
        <v>378275</v>
      </c>
      <c r="I34" s="58">
        <f t="shared" si="8"/>
        <v>290500</v>
      </c>
      <c r="J34" s="58">
        <f t="shared" si="8"/>
        <v>301306</v>
      </c>
      <c r="K34" s="59">
        <f t="shared" si="8"/>
        <v>312223</v>
      </c>
    </row>
    <row r="35" spans="4:11" ht="15" thickBot="1" x14ac:dyDescent="0.3">
      <c r="D35" s="169" t="s">
        <v>172</v>
      </c>
      <c r="E35" s="58">
        <f t="shared" ref="E35:K35" si="9">E34+E31</f>
        <v>1300749</v>
      </c>
      <c r="F35" s="58">
        <f t="shared" si="9"/>
        <v>1336626</v>
      </c>
      <c r="G35" s="58">
        <f t="shared" si="9"/>
        <v>1436533</v>
      </c>
      <c r="H35" s="58">
        <f t="shared" si="9"/>
        <v>1368478</v>
      </c>
      <c r="I35" s="58">
        <f t="shared" si="9"/>
        <v>1195415</v>
      </c>
      <c r="J35" s="58">
        <f t="shared" si="9"/>
        <v>1311573</v>
      </c>
      <c r="K35" s="59">
        <f t="shared" si="9"/>
        <v>1332935</v>
      </c>
    </row>
    <row r="36" spans="4:11" s="10" customFormat="1" ht="9" customHeight="1" x14ac:dyDescent="0.25">
      <c r="D36" s="31"/>
      <c r="E36" s="43"/>
      <c r="F36" s="43"/>
      <c r="G36" s="43"/>
      <c r="H36" s="43"/>
      <c r="I36" s="43"/>
      <c r="J36" s="43"/>
      <c r="K36" s="43"/>
    </row>
    <row r="37" spans="4:11" s="10" customFormat="1" x14ac:dyDescent="0.25">
      <c r="D37" s="52"/>
      <c r="E37" s="87"/>
      <c r="F37" s="87"/>
      <c r="G37" s="87"/>
      <c r="J37" s="27"/>
      <c r="K37" s="27" t="s">
        <v>29</v>
      </c>
    </row>
    <row r="38" spans="4:11" x14ac:dyDescent="0.25">
      <c r="D38" s="44"/>
      <c r="E38" s="91"/>
      <c r="F38" s="91"/>
      <c r="G38" s="91"/>
      <c r="H38" s="91"/>
      <c r="I38" s="91"/>
      <c r="J38" s="91"/>
    </row>
  </sheetData>
  <hyperlinks>
    <hyperlink ref="B2" location="'Suplemento Financiero&gt;&gt;&gt;'!A1" display="ÍNDICE" xr:uid="{8AEB0ABB-54C9-4D39-9894-B995797255E9}"/>
  </hyperlinks>
  <pageMargins left="0.7" right="0.7" top="0.75" bottom="0.75" header="0.3" footer="0.3"/>
  <pageSetup paperSize="9" scale="94" orientation="landscape" r:id="rId1"/>
  <ignoredErrors>
    <ignoredError sqref="E6:J6 E12:J12 E7:I11 E25:K25 K6:K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M2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19" width="13.28515625" style="13" customWidth="1"/>
    <col min="20" max="21" width="13.28515625" style="13" hidden="1" customWidth="1" outlineLevel="1"/>
    <col min="22" max="22" width="13.28515625" style="13" customWidth="1" collapsed="1"/>
    <col min="23" max="23" width="13.28515625" style="13" customWidth="1"/>
    <col min="24" max="24" width="3" style="13" customWidth="1"/>
    <col min="25" max="16384" width="11.42578125" style="13"/>
  </cols>
  <sheetData>
    <row r="1" spans="2:39" ht="16.5" customHeight="1" x14ac:dyDescent="0.25"/>
    <row r="2" spans="2:39" ht="18.75" customHeight="1" thickBot="1" x14ac:dyDescent="0.3">
      <c r="B2" s="11" t="s">
        <v>27</v>
      </c>
      <c r="D2" s="14" t="s">
        <v>114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Y2" s="14" t="s">
        <v>34</v>
      </c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2:39" x14ac:dyDescent="0.25">
      <c r="B3" s="10"/>
      <c r="D3" s="31"/>
      <c r="E3" s="32"/>
      <c r="F3" s="32"/>
      <c r="G3" s="31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2:39" ht="15" thickBot="1" x14ac:dyDescent="0.3">
      <c r="B4" s="10"/>
      <c r="D4" s="23"/>
      <c r="E4" s="33" t="s">
        <v>6</v>
      </c>
      <c r="F4" s="33" t="s">
        <v>115</v>
      </c>
      <c r="G4" s="33" t="s">
        <v>3</v>
      </c>
      <c r="H4" s="33" t="s">
        <v>116</v>
      </c>
      <c r="I4" s="33" t="s">
        <v>117</v>
      </c>
      <c r="J4" s="33" t="s">
        <v>4</v>
      </c>
      <c r="K4" s="33" t="s">
        <v>118</v>
      </c>
      <c r="L4" s="33" t="s">
        <v>119</v>
      </c>
      <c r="M4" s="33" t="s">
        <v>120</v>
      </c>
      <c r="N4" s="33" t="s">
        <v>14</v>
      </c>
      <c r="O4" s="33" t="s">
        <v>121</v>
      </c>
      <c r="P4" s="33" t="s">
        <v>122</v>
      </c>
      <c r="Q4" s="33" t="s">
        <v>123</v>
      </c>
      <c r="R4" s="33" t="s">
        <v>16</v>
      </c>
      <c r="S4" s="33" t="s">
        <v>17</v>
      </c>
      <c r="T4" s="33" t="s">
        <v>88</v>
      </c>
      <c r="U4" s="33" t="s">
        <v>92</v>
      </c>
      <c r="V4" s="33" t="s">
        <v>95</v>
      </c>
      <c r="W4" s="34" t="s">
        <v>193</v>
      </c>
      <c r="Y4" s="33" t="s">
        <v>124</v>
      </c>
      <c r="Z4" s="33" t="s">
        <v>125</v>
      </c>
      <c r="AA4" s="33" t="s">
        <v>126</v>
      </c>
      <c r="AB4" s="33" t="s">
        <v>127</v>
      </c>
      <c r="AC4" s="33" t="s">
        <v>128</v>
      </c>
      <c r="AD4" s="33" t="s">
        <v>129</v>
      </c>
      <c r="AE4" s="33" t="s">
        <v>130</v>
      </c>
      <c r="AF4" s="33" t="s">
        <v>131</v>
      </c>
      <c r="AG4" s="33" t="s">
        <v>132</v>
      </c>
      <c r="AH4" s="33" t="s">
        <v>133</v>
      </c>
      <c r="AI4" s="33" t="s">
        <v>41</v>
      </c>
      <c r="AJ4" s="33" t="s">
        <v>89</v>
      </c>
      <c r="AK4" s="33" t="s">
        <v>93</v>
      </c>
      <c r="AL4" s="33" t="s">
        <v>94</v>
      </c>
      <c r="AM4" s="34" t="s">
        <v>194</v>
      </c>
    </row>
    <row r="5" spans="2:39" x14ac:dyDescent="0.25">
      <c r="B5" s="10"/>
      <c r="D5" s="31" t="s">
        <v>96</v>
      </c>
      <c r="E5" s="35">
        <v>853119</v>
      </c>
      <c r="F5" s="35">
        <v>671237.88711999997</v>
      </c>
      <c r="G5" s="35">
        <v>891295</v>
      </c>
      <c r="H5" s="35">
        <v>451910</v>
      </c>
      <c r="I5" s="35">
        <v>675056.76400999993</v>
      </c>
      <c r="J5" s="35">
        <v>898614</v>
      </c>
      <c r="K5" s="35">
        <v>224068</v>
      </c>
      <c r="L5" s="35">
        <v>456465</v>
      </c>
      <c r="M5" s="35">
        <v>682637.5491399999</v>
      </c>
      <c r="N5" s="35">
        <v>907189</v>
      </c>
      <c r="O5" s="35">
        <v>232005</v>
      </c>
      <c r="P5" s="35">
        <v>474789</v>
      </c>
      <c r="Q5" s="35">
        <v>710701</v>
      </c>
      <c r="R5" s="35">
        <v>946679</v>
      </c>
      <c r="S5" s="35">
        <v>244211</v>
      </c>
      <c r="T5" s="35">
        <v>491948</v>
      </c>
      <c r="U5" s="35">
        <v>731947</v>
      </c>
      <c r="V5" s="35">
        <v>973281</v>
      </c>
      <c r="W5" s="36">
        <v>251419</v>
      </c>
      <c r="Y5" s="35">
        <f t="shared" ref="Y5:Y18" si="0">I5-H5</f>
        <v>223146.76400999993</v>
      </c>
      <c r="Z5" s="35">
        <f t="shared" ref="Z5:Z18" si="1">J5-I5</f>
        <v>223557.23599000007</v>
      </c>
      <c r="AA5" s="35">
        <f>K5</f>
        <v>224068</v>
      </c>
      <c r="AB5" s="35">
        <f t="shared" ref="AB5:AB18" si="2">L5-K5</f>
        <v>232397</v>
      </c>
      <c r="AC5" s="35">
        <f t="shared" ref="AC5:AC18" si="3">M5-L5</f>
        <v>226172.5491399999</v>
      </c>
      <c r="AD5" s="35">
        <f t="shared" ref="AD5:AD17" si="4">N5-M5</f>
        <v>224551.4508600001</v>
      </c>
      <c r="AE5" s="35">
        <f t="shared" ref="AE5:AE17" si="5">O5</f>
        <v>232005</v>
      </c>
      <c r="AF5" s="35">
        <f t="shared" ref="AF5:AF18" si="6">P5-O5</f>
        <v>242784</v>
      </c>
      <c r="AG5" s="35">
        <f t="shared" ref="AG5:AG18" si="7">Q5-P5</f>
        <v>235912</v>
      </c>
      <c r="AH5" s="35">
        <f t="shared" ref="AH5:AH18" si="8">R5-Q5</f>
        <v>235978</v>
      </c>
      <c r="AI5" s="35">
        <f>S5</f>
        <v>244211</v>
      </c>
      <c r="AJ5" s="35">
        <f t="shared" ref="AJ5:AJ18" si="9">T5-S5</f>
        <v>247737</v>
      </c>
      <c r="AK5" s="35">
        <f t="shared" ref="AK5:AK18" si="10">U5-T5</f>
        <v>239999</v>
      </c>
      <c r="AL5" s="35">
        <f t="shared" ref="AL5:AL18" si="11">V5-U5</f>
        <v>241334</v>
      </c>
      <c r="AM5" s="36">
        <f>W5</f>
        <v>251419</v>
      </c>
    </row>
    <row r="6" spans="2:39" x14ac:dyDescent="0.25">
      <c r="B6" s="10"/>
      <c r="D6" s="31" t="s">
        <v>134</v>
      </c>
      <c r="E6" s="35">
        <v>816289</v>
      </c>
      <c r="F6" s="35">
        <v>641351.88182999962</v>
      </c>
      <c r="G6" s="35">
        <v>854762</v>
      </c>
      <c r="H6" s="35">
        <v>434400</v>
      </c>
      <c r="I6" s="35">
        <v>654226.95956999995</v>
      </c>
      <c r="J6" s="35">
        <v>878177</v>
      </c>
      <c r="K6" s="35">
        <v>216386</v>
      </c>
      <c r="L6" s="35">
        <v>435993</v>
      </c>
      <c r="M6" s="35">
        <v>658532.16795000026</v>
      </c>
      <c r="N6" s="35">
        <v>882728</v>
      </c>
      <c r="O6" s="35">
        <v>218616</v>
      </c>
      <c r="P6" s="35">
        <v>441739</v>
      </c>
      <c r="Q6" s="35">
        <v>669797</v>
      </c>
      <c r="R6" s="35">
        <v>900647</v>
      </c>
      <c r="S6" s="35">
        <v>228677</v>
      </c>
      <c r="T6" s="35">
        <v>462016</v>
      </c>
      <c r="U6" s="35">
        <v>698840</v>
      </c>
      <c r="V6" s="35">
        <v>936617</v>
      </c>
      <c r="W6" s="36">
        <v>236348</v>
      </c>
      <c r="Y6" s="35">
        <f t="shared" si="0"/>
        <v>219826.95956999995</v>
      </c>
      <c r="Z6" s="35">
        <f t="shared" si="1"/>
        <v>223950.04043000005</v>
      </c>
      <c r="AA6" s="35">
        <f t="shared" ref="AA6:AA18" si="12">K6</f>
        <v>216386</v>
      </c>
      <c r="AB6" s="35">
        <f t="shared" si="2"/>
        <v>219607</v>
      </c>
      <c r="AC6" s="35">
        <f t="shared" si="3"/>
        <v>222539.16795000026</v>
      </c>
      <c r="AD6" s="35">
        <f t="shared" si="4"/>
        <v>224195.83204999974</v>
      </c>
      <c r="AE6" s="35">
        <f t="shared" si="5"/>
        <v>218616</v>
      </c>
      <c r="AF6" s="35">
        <f t="shared" si="6"/>
        <v>223123</v>
      </c>
      <c r="AG6" s="35">
        <f t="shared" si="7"/>
        <v>228058</v>
      </c>
      <c r="AH6" s="35">
        <f t="shared" si="8"/>
        <v>230850</v>
      </c>
      <c r="AI6" s="35">
        <f t="shared" ref="AI6:AI18" si="13">S6</f>
        <v>228677</v>
      </c>
      <c r="AJ6" s="35">
        <f t="shared" si="9"/>
        <v>233339</v>
      </c>
      <c r="AK6" s="35">
        <f t="shared" si="10"/>
        <v>236824</v>
      </c>
      <c r="AL6" s="35">
        <f t="shared" si="11"/>
        <v>237777</v>
      </c>
      <c r="AM6" s="36">
        <f t="shared" ref="AM6:AM18" si="14">W6</f>
        <v>236348</v>
      </c>
    </row>
    <row r="7" spans="2:39" x14ac:dyDescent="0.25">
      <c r="B7" s="10"/>
      <c r="D7" s="37" t="s">
        <v>37</v>
      </c>
      <c r="E7" s="38">
        <v>-528029</v>
      </c>
      <c r="F7" s="38">
        <v>-434879.50449328037</v>
      </c>
      <c r="G7" s="38">
        <v>-580987</v>
      </c>
      <c r="H7" s="38">
        <v>-279624</v>
      </c>
      <c r="I7" s="38">
        <v>-404121.66815101047</v>
      </c>
      <c r="J7" s="38">
        <v>-540064</v>
      </c>
      <c r="K7" s="38">
        <v>-142364</v>
      </c>
      <c r="L7" s="38">
        <v>-284885</v>
      </c>
      <c r="M7" s="38">
        <v>-434205.32618606143</v>
      </c>
      <c r="N7" s="38">
        <v>-597820</v>
      </c>
      <c r="O7" s="38">
        <v>-151164</v>
      </c>
      <c r="P7" s="38">
        <v>-310218</v>
      </c>
      <c r="Q7" s="38">
        <v>-487814</v>
      </c>
      <c r="R7" s="38">
        <v>-681500</v>
      </c>
      <c r="S7" s="38">
        <v>-197357</v>
      </c>
      <c r="T7" s="38">
        <v>-410601</v>
      </c>
      <c r="U7" s="38">
        <v>-610177</v>
      </c>
      <c r="V7" s="38">
        <v>-800941</v>
      </c>
      <c r="W7" s="39">
        <v>-186439</v>
      </c>
      <c r="Y7" s="38">
        <f t="shared" si="0"/>
        <v>-124497.66815101047</v>
      </c>
      <c r="Z7" s="38">
        <f t="shared" si="1"/>
        <v>-135942.33184898953</v>
      </c>
      <c r="AA7" s="38">
        <f t="shared" si="12"/>
        <v>-142364</v>
      </c>
      <c r="AB7" s="38">
        <f t="shared" si="2"/>
        <v>-142521</v>
      </c>
      <c r="AC7" s="38">
        <f t="shared" si="3"/>
        <v>-149320.32618606143</v>
      </c>
      <c r="AD7" s="38">
        <f t="shared" si="4"/>
        <v>-163614.67381393857</v>
      </c>
      <c r="AE7" s="38">
        <f t="shared" si="5"/>
        <v>-151164</v>
      </c>
      <c r="AF7" s="38">
        <f t="shared" si="6"/>
        <v>-159054</v>
      </c>
      <c r="AG7" s="38">
        <f t="shared" si="7"/>
        <v>-177596</v>
      </c>
      <c r="AH7" s="38">
        <f t="shared" si="8"/>
        <v>-193686</v>
      </c>
      <c r="AI7" s="38">
        <f t="shared" si="13"/>
        <v>-197357</v>
      </c>
      <c r="AJ7" s="38">
        <f t="shared" si="9"/>
        <v>-213244</v>
      </c>
      <c r="AK7" s="38">
        <f t="shared" si="10"/>
        <v>-199576</v>
      </c>
      <c r="AL7" s="38">
        <f t="shared" si="11"/>
        <v>-190764</v>
      </c>
      <c r="AM7" s="39">
        <f t="shared" si="14"/>
        <v>-186439</v>
      </c>
    </row>
    <row r="8" spans="2:39" x14ac:dyDescent="0.25">
      <c r="B8" s="10"/>
      <c r="D8" s="37" t="s">
        <v>38</v>
      </c>
      <c r="E8" s="38">
        <v>-196176</v>
      </c>
      <c r="F8" s="38">
        <v>-149071.66064898294</v>
      </c>
      <c r="G8" s="38">
        <v>-199919</v>
      </c>
      <c r="H8" s="38">
        <v>-101365</v>
      </c>
      <c r="I8" s="38">
        <v>-154592.63530112992</v>
      </c>
      <c r="J8" s="38">
        <v>-209603</v>
      </c>
      <c r="K8" s="38">
        <v>-46564</v>
      </c>
      <c r="L8" s="38">
        <v>-97485</v>
      </c>
      <c r="M8" s="38">
        <v>-149806.46006821495</v>
      </c>
      <c r="N8" s="38">
        <v>-203458</v>
      </c>
      <c r="O8" s="38">
        <v>-45654</v>
      </c>
      <c r="P8" s="38">
        <v>-94279</v>
      </c>
      <c r="Q8" s="38">
        <v>-146456</v>
      </c>
      <c r="R8" s="38">
        <v>-202182</v>
      </c>
      <c r="S8" s="38">
        <v>-50440</v>
      </c>
      <c r="T8" s="38">
        <v>-99816</v>
      </c>
      <c r="U8" s="38">
        <v>-152116</v>
      </c>
      <c r="V8" s="38">
        <v>-208409</v>
      </c>
      <c r="W8" s="39">
        <v>-51554</v>
      </c>
      <c r="Y8" s="38">
        <f t="shared" si="0"/>
        <v>-53227.635301129922</v>
      </c>
      <c r="Z8" s="38">
        <f t="shared" si="1"/>
        <v>-55010.364698870078</v>
      </c>
      <c r="AA8" s="38">
        <f t="shared" si="12"/>
        <v>-46564</v>
      </c>
      <c r="AB8" s="38">
        <f t="shared" si="2"/>
        <v>-50921</v>
      </c>
      <c r="AC8" s="38">
        <f t="shared" si="3"/>
        <v>-52321.460068214947</v>
      </c>
      <c r="AD8" s="38">
        <f t="shared" si="4"/>
        <v>-53651.539931785053</v>
      </c>
      <c r="AE8" s="38">
        <f t="shared" si="5"/>
        <v>-45654</v>
      </c>
      <c r="AF8" s="38">
        <f t="shared" si="6"/>
        <v>-48625</v>
      </c>
      <c r="AG8" s="38">
        <f t="shared" si="7"/>
        <v>-52177</v>
      </c>
      <c r="AH8" s="38">
        <f t="shared" si="8"/>
        <v>-55726</v>
      </c>
      <c r="AI8" s="38">
        <f t="shared" si="13"/>
        <v>-50440</v>
      </c>
      <c r="AJ8" s="38">
        <f t="shared" si="9"/>
        <v>-49376</v>
      </c>
      <c r="AK8" s="38">
        <f t="shared" si="10"/>
        <v>-52300</v>
      </c>
      <c r="AL8" s="38">
        <f t="shared" si="11"/>
        <v>-56293</v>
      </c>
      <c r="AM8" s="39">
        <f t="shared" si="14"/>
        <v>-51554</v>
      </c>
    </row>
    <row r="9" spans="2:39" x14ac:dyDescent="0.25">
      <c r="B9" s="10"/>
      <c r="D9" s="37" t="s">
        <v>135</v>
      </c>
      <c r="E9" s="38">
        <v>25728</v>
      </c>
      <c r="F9" s="38">
        <v>23267.081610000001</v>
      </c>
      <c r="G9" s="38">
        <v>29794</v>
      </c>
      <c r="H9" s="38">
        <v>8623</v>
      </c>
      <c r="I9" s="38">
        <v>14051.203730000003</v>
      </c>
      <c r="J9" s="38">
        <v>17429</v>
      </c>
      <c r="K9" s="38">
        <v>4086</v>
      </c>
      <c r="L9" s="38">
        <v>9516</v>
      </c>
      <c r="M9" s="38">
        <v>15089.09052</v>
      </c>
      <c r="N9" s="38">
        <v>22185</v>
      </c>
      <c r="O9" s="38">
        <v>2310</v>
      </c>
      <c r="P9" s="38">
        <v>6809</v>
      </c>
      <c r="Q9" s="38">
        <v>11920</v>
      </c>
      <c r="R9" s="38">
        <v>16385</v>
      </c>
      <c r="S9" s="38">
        <v>2314</v>
      </c>
      <c r="T9" s="38">
        <v>9021</v>
      </c>
      <c r="U9" s="38">
        <v>15646</v>
      </c>
      <c r="V9" s="38">
        <v>21701</v>
      </c>
      <c r="W9" s="39">
        <v>5181</v>
      </c>
      <c r="Y9" s="38">
        <f t="shared" si="0"/>
        <v>5428.2037300000029</v>
      </c>
      <c r="Z9" s="38">
        <f t="shared" si="1"/>
        <v>3377.7962699999971</v>
      </c>
      <c r="AA9" s="38">
        <f t="shared" si="12"/>
        <v>4086</v>
      </c>
      <c r="AB9" s="38">
        <f t="shared" si="2"/>
        <v>5430</v>
      </c>
      <c r="AC9" s="38">
        <f t="shared" si="3"/>
        <v>5573.0905199999997</v>
      </c>
      <c r="AD9" s="38">
        <f t="shared" si="4"/>
        <v>7095.9094800000003</v>
      </c>
      <c r="AE9" s="38">
        <f t="shared" si="5"/>
        <v>2310</v>
      </c>
      <c r="AF9" s="38">
        <f t="shared" si="6"/>
        <v>4499</v>
      </c>
      <c r="AG9" s="38">
        <f t="shared" si="7"/>
        <v>5111</v>
      </c>
      <c r="AH9" s="38">
        <f t="shared" si="8"/>
        <v>4465</v>
      </c>
      <c r="AI9" s="38">
        <f t="shared" si="13"/>
        <v>2314</v>
      </c>
      <c r="AJ9" s="38">
        <f t="shared" si="9"/>
        <v>6707</v>
      </c>
      <c r="AK9" s="38">
        <f t="shared" si="10"/>
        <v>6625</v>
      </c>
      <c r="AL9" s="38">
        <f t="shared" si="11"/>
        <v>6055</v>
      </c>
      <c r="AM9" s="39">
        <f t="shared" si="14"/>
        <v>5181</v>
      </c>
    </row>
    <row r="10" spans="2:39" x14ac:dyDescent="0.25">
      <c r="B10" s="10"/>
      <c r="D10" s="31" t="s">
        <v>35</v>
      </c>
      <c r="E10" s="35">
        <f t="shared" ref="E10:I10" si="15">SUM(E6:E9)</f>
        <v>117812</v>
      </c>
      <c r="F10" s="35">
        <f>SUM(F6:F9)</f>
        <v>80667.798297736299</v>
      </c>
      <c r="G10" s="35">
        <f t="shared" si="15"/>
        <v>103650</v>
      </c>
      <c r="H10" s="35">
        <f t="shared" si="15"/>
        <v>62034</v>
      </c>
      <c r="I10" s="35">
        <f t="shared" si="15"/>
        <v>109563.85984785957</v>
      </c>
      <c r="J10" s="35">
        <f t="shared" ref="J10:Q10" si="16">SUM(J6:J9)</f>
        <v>145939</v>
      </c>
      <c r="K10" s="35">
        <f t="shared" si="16"/>
        <v>31544</v>
      </c>
      <c r="L10" s="35">
        <f t="shared" si="16"/>
        <v>63139</v>
      </c>
      <c r="M10" s="35">
        <f t="shared" si="16"/>
        <v>89609.472215723887</v>
      </c>
      <c r="N10" s="35">
        <f t="shared" si="16"/>
        <v>103635</v>
      </c>
      <c r="O10" s="35">
        <f t="shared" si="16"/>
        <v>24108</v>
      </c>
      <c r="P10" s="35">
        <v>44051</v>
      </c>
      <c r="Q10" s="35">
        <f t="shared" si="16"/>
        <v>47447</v>
      </c>
      <c r="R10" s="35">
        <f t="shared" ref="R10:W10" si="17">SUM(R6:R9)</f>
        <v>33350</v>
      </c>
      <c r="S10" s="35">
        <f t="shared" si="17"/>
        <v>-16806</v>
      </c>
      <c r="T10" s="35">
        <f t="shared" si="17"/>
        <v>-39380</v>
      </c>
      <c r="U10" s="35">
        <f t="shared" si="17"/>
        <v>-47807</v>
      </c>
      <c r="V10" s="35">
        <f t="shared" si="17"/>
        <v>-51032</v>
      </c>
      <c r="W10" s="36">
        <f t="shared" si="17"/>
        <v>3536</v>
      </c>
      <c r="Y10" s="35">
        <f t="shared" si="0"/>
        <v>47529.859847859567</v>
      </c>
      <c r="Z10" s="35">
        <f t="shared" si="1"/>
        <v>36375.140152140433</v>
      </c>
      <c r="AA10" s="35">
        <f t="shared" si="12"/>
        <v>31544</v>
      </c>
      <c r="AB10" s="35">
        <f t="shared" si="2"/>
        <v>31595</v>
      </c>
      <c r="AC10" s="35">
        <f t="shared" si="3"/>
        <v>26470.472215723887</v>
      </c>
      <c r="AD10" s="35">
        <f t="shared" si="4"/>
        <v>14025.527784276113</v>
      </c>
      <c r="AE10" s="35">
        <f t="shared" si="5"/>
        <v>24108</v>
      </c>
      <c r="AF10" s="35">
        <f t="shared" si="6"/>
        <v>19943</v>
      </c>
      <c r="AG10" s="35">
        <f t="shared" si="7"/>
        <v>3396</v>
      </c>
      <c r="AH10" s="35">
        <f t="shared" si="8"/>
        <v>-14097</v>
      </c>
      <c r="AI10" s="35">
        <f t="shared" si="13"/>
        <v>-16806</v>
      </c>
      <c r="AJ10" s="35">
        <f t="shared" si="9"/>
        <v>-22574</v>
      </c>
      <c r="AK10" s="35">
        <f t="shared" si="10"/>
        <v>-8427</v>
      </c>
      <c r="AL10" s="35">
        <f t="shared" si="11"/>
        <v>-3225</v>
      </c>
      <c r="AM10" s="36">
        <f t="shared" si="14"/>
        <v>3536</v>
      </c>
    </row>
    <row r="11" spans="2:39" x14ac:dyDescent="0.25">
      <c r="B11" s="10"/>
      <c r="D11" s="37" t="s">
        <v>136</v>
      </c>
      <c r="E11" s="38">
        <v>52021</v>
      </c>
      <c r="F11" s="38">
        <v>54355.569459999992</v>
      </c>
      <c r="G11" s="38">
        <v>70687</v>
      </c>
      <c r="H11" s="38">
        <v>34974</v>
      </c>
      <c r="I11" s="38">
        <v>50657.768469999995</v>
      </c>
      <c r="J11" s="38">
        <v>76613</v>
      </c>
      <c r="K11" s="38">
        <v>13376</v>
      </c>
      <c r="L11" s="38">
        <v>22769</v>
      </c>
      <c r="M11" s="38">
        <v>39281.246479999987</v>
      </c>
      <c r="N11" s="38">
        <v>57904</v>
      </c>
      <c r="O11" s="38">
        <v>16337</v>
      </c>
      <c r="P11" s="38">
        <v>36794</v>
      </c>
      <c r="Q11" s="38">
        <v>51685</v>
      </c>
      <c r="R11" s="38">
        <v>72406</v>
      </c>
      <c r="S11" s="38">
        <v>15432</v>
      </c>
      <c r="T11" s="38">
        <v>27400</v>
      </c>
      <c r="U11" s="38">
        <v>38806</v>
      </c>
      <c r="V11" s="38">
        <v>54165</v>
      </c>
      <c r="W11" s="39">
        <v>12179</v>
      </c>
      <c r="Y11" s="38">
        <f t="shared" si="0"/>
        <v>15683.768469999995</v>
      </c>
      <c r="Z11" s="38">
        <f t="shared" si="1"/>
        <v>25955.231530000005</v>
      </c>
      <c r="AA11" s="38">
        <f t="shared" si="12"/>
        <v>13376</v>
      </c>
      <c r="AB11" s="38">
        <f t="shared" si="2"/>
        <v>9393</v>
      </c>
      <c r="AC11" s="38">
        <f t="shared" si="3"/>
        <v>16512.246479999987</v>
      </c>
      <c r="AD11" s="38">
        <f t="shared" si="4"/>
        <v>18622.753520000013</v>
      </c>
      <c r="AE11" s="38">
        <f t="shared" si="5"/>
        <v>16337</v>
      </c>
      <c r="AF11" s="38">
        <f t="shared" si="6"/>
        <v>20457</v>
      </c>
      <c r="AG11" s="38">
        <f t="shared" si="7"/>
        <v>14891</v>
      </c>
      <c r="AH11" s="38">
        <f t="shared" si="8"/>
        <v>20721</v>
      </c>
      <c r="AI11" s="38">
        <f t="shared" si="13"/>
        <v>15432</v>
      </c>
      <c r="AJ11" s="38">
        <f t="shared" si="9"/>
        <v>11968</v>
      </c>
      <c r="AK11" s="38">
        <f t="shared" si="10"/>
        <v>11406</v>
      </c>
      <c r="AL11" s="38">
        <f t="shared" si="11"/>
        <v>15359</v>
      </c>
      <c r="AM11" s="39">
        <f t="shared" si="14"/>
        <v>12179</v>
      </c>
    </row>
    <row r="12" spans="2:39" x14ac:dyDescent="0.25">
      <c r="B12" s="10"/>
      <c r="D12" s="37" t="s">
        <v>137</v>
      </c>
      <c r="E12" s="38">
        <v>-18547</v>
      </c>
      <c r="F12" s="38">
        <v>-32709.224891641526</v>
      </c>
      <c r="G12" s="38">
        <v>-39117</v>
      </c>
      <c r="H12" s="38">
        <v>-21932</v>
      </c>
      <c r="I12" s="38">
        <v>-32428.553819042852</v>
      </c>
      <c r="J12" s="38">
        <v>-47360</v>
      </c>
      <c r="K12" s="38">
        <v>-6437</v>
      </c>
      <c r="L12" s="38">
        <v>-9974</v>
      </c>
      <c r="M12" s="38">
        <v>-17173.93199369132</v>
      </c>
      <c r="N12" s="38">
        <v>-23243</v>
      </c>
      <c r="O12" s="38">
        <v>-9589</v>
      </c>
      <c r="P12" s="38">
        <v>-18414</v>
      </c>
      <c r="Q12" s="38">
        <v>-25662</v>
      </c>
      <c r="R12" s="38">
        <v>-32633</v>
      </c>
      <c r="S12" s="38">
        <v>-6755</v>
      </c>
      <c r="T12" s="38">
        <v>-10479</v>
      </c>
      <c r="U12" s="38">
        <v>-13734</v>
      </c>
      <c r="V12" s="38">
        <v>-20281</v>
      </c>
      <c r="W12" s="39">
        <v>-3738</v>
      </c>
      <c r="Y12" s="38">
        <f t="shared" si="0"/>
        <v>-10496.553819042852</v>
      </c>
      <c r="Z12" s="38">
        <f t="shared" si="1"/>
        <v>-14931.446180957148</v>
      </c>
      <c r="AA12" s="38">
        <f t="shared" si="12"/>
        <v>-6437</v>
      </c>
      <c r="AB12" s="38">
        <f t="shared" si="2"/>
        <v>-3537</v>
      </c>
      <c r="AC12" s="38">
        <f t="shared" si="3"/>
        <v>-7199.9319936913198</v>
      </c>
      <c r="AD12" s="38">
        <f t="shared" si="4"/>
        <v>-6069.0680063086802</v>
      </c>
      <c r="AE12" s="38">
        <f t="shared" si="5"/>
        <v>-9589</v>
      </c>
      <c r="AF12" s="38">
        <f t="shared" si="6"/>
        <v>-8825</v>
      </c>
      <c r="AG12" s="38">
        <f t="shared" si="7"/>
        <v>-7248</v>
      </c>
      <c r="AH12" s="38">
        <f t="shared" si="8"/>
        <v>-6971</v>
      </c>
      <c r="AI12" s="38">
        <f t="shared" si="13"/>
        <v>-6755</v>
      </c>
      <c r="AJ12" s="38">
        <f t="shared" si="9"/>
        <v>-3724</v>
      </c>
      <c r="AK12" s="38">
        <f t="shared" si="10"/>
        <v>-3255</v>
      </c>
      <c r="AL12" s="38">
        <f t="shared" si="11"/>
        <v>-6547</v>
      </c>
      <c r="AM12" s="39">
        <f t="shared" si="14"/>
        <v>-3738</v>
      </c>
    </row>
    <row r="13" spans="2:39" x14ac:dyDescent="0.25">
      <c r="B13" s="10"/>
      <c r="D13" s="31" t="s">
        <v>138</v>
      </c>
      <c r="E13" s="35">
        <f>SUM(E11:E12)</f>
        <v>33474</v>
      </c>
      <c r="F13" s="35">
        <f>SUM(F11:F12)</f>
        <v>21646.344568358465</v>
      </c>
      <c r="G13" s="35">
        <f t="shared" ref="G13:Q13" si="18">SUM(G11:G12)</f>
        <v>31570</v>
      </c>
      <c r="H13" s="35">
        <f t="shared" si="18"/>
        <v>13042</v>
      </c>
      <c r="I13" s="35">
        <f t="shared" si="18"/>
        <v>18229.214650957143</v>
      </c>
      <c r="J13" s="35">
        <f t="shared" si="18"/>
        <v>29253</v>
      </c>
      <c r="K13" s="35">
        <f t="shared" si="18"/>
        <v>6939</v>
      </c>
      <c r="L13" s="35">
        <f t="shared" si="18"/>
        <v>12795</v>
      </c>
      <c r="M13" s="35">
        <f t="shared" si="18"/>
        <v>22107.314486308667</v>
      </c>
      <c r="N13" s="35">
        <f t="shared" si="18"/>
        <v>34661</v>
      </c>
      <c r="O13" s="35">
        <f t="shared" si="18"/>
        <v>6748</v>
      </c>
      <c r="P13" s="35">
        <v>18380</v>
      </c>
      <c r="Q13" s="35">
        <f t="shared" si="18"/>
        <v>26023</v>
      </c>
      <c r="R13" s="35">
        <f t="shared" ref="R13:W13" si="19">SUM(R11:R12)</f>
        <v>39773</v>
      </c>
      <c r="S13" s="35">
        <f t="shared" si="19"/>
        <v>8677</v>
      </c>
      <c r="T13" s="35">
        <f t="shared" si="19"/>
        <v>16921</v>
      </c>
      <c r="U13" s="35">
        <f t="shared" si="19"/>
        <v>25072</v>
      </c>
      <c r="V13" s="35">
        <f t="shared" si="19"/>
        <v>33884</v>
      </c>
      <c r="W13" s="36">
        <f t="shared" si="19"/>
        <v>8441</v>
      </c>
      <c r="Y13" s="35">
        <f t="shared" si="0"/>
        <v>5187.214650957143</v>
      </c>
      <c r="Z13" s="35">
        <f t="shared" si="1"/>
        <v>11023.785349042857</v>
      </c>
      <c r="AA13" s="35">
        <f t="shared" si="12"/>
        <v>6939</v>
      </c>
      <c r="AB13" s="35">
        <f t="shared" si="2"/>
        <v>5856</v>
      </c>
      <c r="AC13" s="35">
        <f t="shared" si="3"/>
        <v>9312.3144863086673</v>
      </c>
      <c r="AD13" s="35">
        <f t="shared" si="4"/>
        <v>12553.685513691333</v>
      </c>
      <c r="AE13" s="35">
        <f t="shared" si="5"/>
        <v>6748</v>
      </c>
      <c r="AF13" s="35">
        <f t="shared" si="6"/>
        <v>11632</v>
      </c>
      <c r="AG13" s="35">
        <f t="shared" si="7"/>
        <v>7643</v>
      </c>
      <c r="AH13" s="35">
        <f t="shared" si="8"/>
        <v>13750</v>
      </c>
      <c r="AI13" s="35">
        <f t="shared" si="13"/>
        <v>8677</v>
      </c>
      <c r="AJ13" s="35">
        <f t="shared" si="9"/>
        <v>8244</v>
      </c>
      <c r="AK13" s="35">
        <f t="shared" si="10"/>
        <v>8151</v>
      </c>
      <c r="AL13" s="35">
        <f t="shared" si="11"/>
        <v>8812</v>
      </c>
      <c r="AM13" s="36">
        <f t="shared" si="14"/>
        <v>8441</v>
      </c>
    </row>
    <row r="14" spans="2:39" x14ac:dyDescent="0.25">
      <c r="B14" s="10"/>
      <c r="D14" s="31" t="s">
        <v>139</v>
      </c>
      <c r="E14" s="35">
        <f>SUM(E13,E10)</f>
        <v>151286</v>
      </c>
      <c r="F14" s="35">
        <f>SUM(F13,F10)</f>
        <v>102314.14286609477</v>
      </c>
      <c r="G14" s="35">
        <f t="shared" ref="G14:Q14" si="20">SUM(G13,G10)</f>
        <v>135220</v>
      </c>
      <c r="H14" s="35">
        <f t="shared" si="20"/>
        <v>75076</v>
      </c>
      <c r="I14" s="35">
        <f t="shared" si="20"/>
        <v>127793.07449881671</v>
      </c>
      <c r="J14" s="35">
        <f t="shared" si="20"/>
        <v>175192</v>
      </c>
      <c r="K14" s="35">
        <f t="shared" si="20"/>
        <v>38483</v>
      </c>
      <c r="L14" s="35">
        <f t="shared" si="20"/>
        <v>75934</v>
      </c>
      <c r="M14" s="35">
        <f t="shared" si="20"/>
        <v>111716.78670203255</v>
      </c>
      <c r="N14" s="35">
        <f t="shared" si="20"/>
        <v>138296</v>
      </c>
      <c r="O14" s="35">
        <f t="shared" si="20"/>
        <v>30856</v>
      </c>
      <c r="P14" s="35">
        <v>62431</v>
      </c>
      <c r="Q14" s="35">
        <f t="shared" si="20"/>
        <v>73470</v>
      </c>
      <c r="R14" s="35">
        <f t="shared" ref="R14:W14" si="21">SUM(R13,R10)</f>
        <v>73123</v>
      </c>
      <c r="S14" s="35">
        <f t="shared" si="21"/>
        <v>-8129</v>
      </c>
      <c r="T14" s="35">
        <f t="shared" si="21"/>
        <v>-22459</v>
      </c>
      <c r="U14" s="35">
        <f t="shared" si="21"/>
        <v>-22735</v>
      </c>
      <c r="V14" s="35">
        <f t="shared" si="21"/>
        <v>-17148</v>
      </c>
      <c r="W14" s="36">
        <f t="shared" si="21"/>
        <v>11977</v>
      </c>
      <c r="Y14" s="35">
        <f t="shared" si="0"/>
        <v>52717.074498816713</v>
      </c>
      <c r="Z14" s="35">
        <f t="shared" si="1"/>
        <v>47398.925501183287</v>
      </c>
      <c r="AA14" s="35">
        <f t="shared" si="12"/>
        <v>38483</v>
      </c>
      <c r="AB14" s="35">
        <f t="shared" si="2"/>
        <v>37451</v>
      </c>
      <c r="AC14" s="35">
        <f t="shared" si="3"/>
        <v>35782.78670203255</v>
      </c>
      <c r="AD14" s="35">
        <f t="shared" si="4"/>
        <v>26579.21329796745</v>
      </c>
      <c r="AE14" s="35">
        <f t="shared" si="5"/>
        <v>30856</v>
      </c>
      <c r="AF14" s="35">
        <f t="shared" si="6"/>
        <v>31575</v>
      </c>
      <c r="AG14" s="35">
        <f t="shared" si="7"/>
        <v>11039</v>
      </c>
      <c r="AH14" s="35">
        <f t="shared" si="8"/>
        <v>-347</v>
      </c>
      <c r="AI14" s="35">
        <f t="shared" si="13"/>
        <v>-8129</v>
      </c>
      <c r="AJ14" s="35">
        <f t="shared" si="9"/>
        <v>-14330</v>
      </c>
      <c r="AK14" s="35">
        <f t="shared" si="10"/>
        <v>-276</v>
      </c>
      <c r="AL14" s="35">
        <f t="shared" si="11"/>
        <v>5587</v>
      </c>
      <c r="AM14" s="36">
        <f t="shared" si="14"/>
        <v>11977</v>
      </c>
    </row>
    <row r="15" spans="2:39" x14ac:dyDescent="0.25">
      <c r="B15" s="10"/>
      <c r="D15" s="37" t="s">
        <v>140</v>
      </c>
      <c r="E15" s="38">
        <v>4677</v>
      </c>
      <c r="F15" s="38">
        <v>5809.7359739047224</v>
      </c>
      <c r="G15" s="38">
        <v>7617</v>
      </c>
      <c r="H15" s="38">
        <v>3444</v>
      </c>
      <c r="I15" s="38">
        <v>5116.6454408655263</v>
      </c>
      <c r="J15" s="38">
        <v>4432</v>
      </c>
      <c r="K15" s="38">
        <v>944</v>
      </c>
      <c r="L15" s="38">
        <v>1684</v>
      </c>
      <c r="M15" s="38">
        <v>3360.7093052500841</v>
      </c>
      <c r="N15" s="38">
        <v>6884</v>
      </c>
      <c r="O15" s="38">
        <v>1429</v>
      </c>
      <c r="P15" s="38">
        <v>2820</v>
      </c>
      <c r="Q15" s="38">
        <v>3712</v>
      </c>
      <c r="R15" s="38">
        <v>5635</v>
      </c>
      <c r="S15" s="38">
        <v>1083</v>
      </c>
      <c r="T15" s="38">
        <v>1955</v>
      </c>
      <c r="U15" s="38">
        <v>2759</v>
      </c>
      <c r="V15" s="38">
        <v>3342</v>
      </c>
      <c r="W15" s="39">
        <v>631</v>
      </c>
      <c r="Y15" s="38">
        <f t="shared" si="0"/>
        <v>1672.6454408655263</v>
      </c>
      <c r="Z15" s="38">
        <f t="shared" si="1"/>
        <v>-684.64544086552633</v>
      </c>
      <c r="AA15" s="38">
        <f t="shared" si="12"/>
        <v>944</v>
      </c>
      <c r="AB15" s="38">
        <f t="shared" si="2"/>
        <v>740</v>
      </c>
      <c r="AC15" s="38">
        <f t="shared" si="3"/>
        <v>1676.7093052500841</v>
      </c>
      <c r="AD15" s="38">
        <f t="shared" si="4"/>
        <v>3523.2906947499159</v>
      </c>
      <c r="AE15" s="38">
        <f t="shared" si="5"/>
        <v>1429</v>
      </c>
      <c r="AF15" s="38">
        <f t="shared" si="6"/>
        <v>1391</v>
      </c>
      <c r="AG15" s="38">
        <f t="shared" si="7"/>
        <v>892</v>
      </c>
      <c r="AH15" s="38">
        <f t="shared" si="8"/>
        <v>1923</v>
      </c>
      <c r="AI15" s="38">
        <f t="shared" si="13"/>
        <v>1083</v>
      </c>
      <c r="AJ15" s="38">
        <f t="shared" si="9"/>
        <v>872</v>
      </c>
      <c r="AK15" s="38">
        <f t="shared" si="10"/>
        <v>804</v>
      </c>
      <c r="AL15" s="38">
        <f t="shared" si="11"/>
        <v>583</v>
      </c>
      <c r="AM15" s="39">
        <f t="shared" si="14"/>
        <v>631</v>
      </c>
    </row>
    <row r="16" spans="2:39" x14ac:dyDescent="0.25">
      <c r="B16" s="10"/>
      <c r="D16" s="31" t="s">
        <v>141</v>
      </c>
      <c r="E16" s="35">
        <f>SUM(E14:E15)</f>
        <v>155963</v>
      </c>
      <c r="F16" s="35">
        <f>SUM(F14:F15)</f>
        <v>108123.8788399995</v>
      </c>
      <c r="G16" s="35">
        <f t="shared" ref="G16:Q16" si="22">SUM(G14:G15)</f>
        <v>142837</v>
      </c>
      <c r="H16" s="35">
        <f t="shared" si="22"/>
        <v>78520</v>
      </c>
      <c r="I16" s="35">
        <f t="shared" si="22"/>
        <v>132909.71993968223</v>
      </c>
      <c r="J16" s="35">
        <f t="shared" si="22"/>
        <v>179624</v>
      </c>
      <c r="K16" s="35">
        <f t="shared" si="22"/>
        <v>39427</v>
      </c>
      <c r="L16" s="35">
        <f t="shared" si="22"/>
        <v>77618</v>
      </c>
      <c r="M16" s="35">
        <f t="shared" si="22"/>
        <v>115077.49600728264</v>
      </c>
      <c r="N16" s="35">
        <f t="shared" si="22"/>
        <v>145180</v>
      </c>
      <c r="O16" s="35">
        <f t="shared" si="22"/>
        <v>32285</v>
      </c>
      <c r="P16" s="35">
        <v>65251</v>
      </c>
      <c r="Q16" s="35">
        <f t="shared" si="22"/>
        <v>77182</v>
      </c>
      <c r="R16" s="35">
        <f t="shared" ref="R16:W16" si="23">SUM(R14:R15)</f>
        <v>78758</v>
      </c>
      <c r="S16" s="35">
        <f t="shared" si="23"/>
        <v>-7046</v>
      </c>
      <c r="T16" s="35">
        <f t="shared" si="23"/>
        <v>-20504</v>
      </c>
      <c r="U16" s="35">
        <f t="shared" si="23"/>
        <v>-19976</v>
      </c>
      <c r="V16" s="35">
        <f t="shared" si="23"/>
        <v>-13806</v>
      </c>
      <c r="W16" s="36">
        <f t="shared" si="23"/>
        <v>12608</v>
      </c>
      <c r="Y16" s="35">
        <f t="shared" si="0"/>
        <v>54389.719939682225</v>
      </c>
      <c r="Z16" s="35">
        <f t="shared" si="1"/>
        <v>46714.280060317775</v>
      </c>
      <c r="AA16" s="35">
        <f t="shared" si="12"/>
        <v>39427</v>
      </c>
      <c r="AB16" s="35">
        <f t="shared" si="2"/>
        <v>38191</v>
      </c>
      <c r="AC16" s="35">
        <f t="shared" si="3"/>
        <v>37459.496007282636</v>
      </c>
      <c r="AD16" s="35">
        <f t="shared" si="4"/>
        <v>30102.503992717364</v>
      </c>
      <c r="AE16" s="35">
        <f t="shared" si="5"/>
        <v>32285</v>
      </c>
      <c r="AF16" s="35">
        <f t="shared" si="6"/>
        <v>32966</v>
      </c>
      <c r="AG16" s="35">
        <f t="shared" si="7"/>
        <v>11931</v>
      </c>
      <c r="AH16" s="35">
        <f t="shared" si="8"/>
        <v>1576</v>
      </c>
      <c r="AI16" s="35">
        <f t="shared" si="13"/>
        <v>-7046</v>
      </c>
      <c r="AJ16" s="35">
        <f t="shared" si="9"/>
        <v>-13458</v>
      </c>
      <c r="AK16" s="35">
        <f t="shared" si="10"/>
        <v>528</v>
      </c>
      <c r="AL16" s="35">
        <f t="shared" si="11"/>
        <v>6170</v>
      </c>
      <c r="AM16" s="36">
        <f t="shared" si="14"/>
        <v>12608</v>
      </c>
    </row>
    <row r="17" spans="2:39" ht="15" thickBot="1" x14ac:dyDescent="0.3">
      <c r="B17" s="10"/>
      <c r="D17" s="37" t="s">
        <v>142</v>
      </c>
      <c r="E17" s="38">
        <v>-38752</v>
      </c>
      <c r="F17" s="38">
        <v>-26601.341855272254</v>
      </c>
      <c r="G17" s="38">
        <v>-35542</v>
      </c>
      <c r="H17" s="38">
        <v>-19631</v>
      </c>
      <c r="I17" s="38">
        <v>-33255.541249920563</v>
      </c>
      <c r="J17" s="38">
        <v>-44778</v>
      </c>
      <c r="K17" s="38">
        <v>-9827</v>
      </c>
      <c r="L17" s="38">
        <v>-19408</v>
      </c>
      <c r="M17" s="38">
        <v>-28784.250481820487</v>
      </c>
      <c r="N17" s="38">
        <v>-35043</v>
      </c>
      <c r="O17" s="38">
        <v>-8096</v>
      </c>
      <c r="P17" s="38">
        <v>-16275</v>
      </c>
      <c r="Q17" s="38">
        <v>-18872</v>
      </c>
      <c r="R17" s="38">
        <v>-19235</v>
      </c>
      <c r="S17" s="38">
        <v>1764</v>
      </c>
      <c r="T17" s="38">
        <v>4945</v>
      </c>
      <c r="U17" s="38">
        <v>5288</v>
      </c>
      <c r="V17" s="38">
        <v>3972</v>
      </c>
      <c r="W17" s="39">
        <v>-3310</v>
      </c>
      <c r="Y17" s="38">
        <f t="shared" si="0"/>
        <v>-13624.541249920563</v>
      </c>
      <c r="Z17" s="38">
        <f t="shared" si="1"/>
        <v>-11522.458750079437</v>
      </c>
      <c r="AA17" s="38">
        <f t="shared" si="12"/>
        <v>-9827</v>
      </c>
      <c r="AB17" s="38">
        <f t="shared" si="2"/>
        <v>-9581</v>
      </c>
      <c r="AC17" s="38">
        <f t="shared" si="3"/>
        <v>-9376.250481820487</v>
      </c>
      <c r="AD17" s="38">
        <f t="shared" si="4"/>
        <v>-6258.749518179513</v>
      </c>
      <c r="AE17" s="38">
        <f t="shared" si="5"/>
        <v>-8096</v>
      </c>
      <c r="AF17" s="38">
        <f t="shared" si="6"/>
        <v>-8179</v>
      </c>
      <c r="AG17" s="38">
        <f t="shared" si="7"/>
        <v>-2597</v>
      </c>
      <c r="AH17" s="38">
        <f t="shared" si="8"/>
        <v>-363</v>
      </c>
      <c r="AI17" s="38">
        <f t="shared" si="13"/>
        <v>1764</v>
      </c>
      <c r="AJ17" s="38">
        <f t="shared" si="9"/>
        <v>3181</v>
      </c>
      <c r="AK17" s="38">
        <f t="shared" si="10"/>
        <v>343</v>
      </c>
      <c r="AL17" s="38">
        <f t="shared" si="11"/>
        <v>-1316</v>
      </c>
      <c r="AM17" s="39">
        <f t="shared" si="14"/>
        <v>-3310</v>
      </c>
    </row>
    <row r="18" spans="2:39" ht="15" thickBot="1" x14ac:dyDescent="0.3">
      <c r="B18" s="10"/>
      <c r="D18" s="40" t="s">
        <v>143</v>
      </c>
      <c r="E18" s="41">
        <f>SUM(E16:E17)</f>
        <v>117211</v>
      </c>
      <c r="F18" s="41">
        <f>SUM(F16:F17)</f>
        <v>81522.536984727238</v>
      </c>
      <c r="G18" s="41">
        <f t="shared" ref="G18:W18" si="24">SUM(G16:G17)</f>
        <v>107295</v>
      </c>
      <c r="H18" s="41">
        <f t="shared" si="24"/>
        <v>58889</v>
      </c>
      <c r="I18" s="41">
        <f t="shared" si="24"/>
        <v>99654.178689761669</v>
      </c>
      <c r="J18" s="41">
        <f t="shared" si="24"/>
        <v>134846</v>
      </c>
      <c r="K18" s="41">
        <f t="shared" si="24"/>
        <v>29600</v>
      </c>
      <c r="L18" s="41">
        <f t="shared" si="24"/>
        <v>58210</v>
      </c>
      <c r="M18" s="41">
        <f t="shared" si="24"/>
        <v>86293.245525462145</v>
      </c>
      <c r="N18" s="41">
        <f t="shared" si="24"/>
        <v>110137</v>
      </c>
      <c r="O18" s="41">
        <f t="shared" si="24"/>
        <v>24189</v>
      </c>
      <c r="P18" s="41">
        <v>48976</v>
      </c>
      <c r="Q18" s="41">
        <f t="shared" si="24"/>
        <v>58310</v>
      </c>
      <c r="R18" s="41">
        <f t="shared" si="24"/>
        <v>59523</v>
      </c>
      <c r="S18" s="41">
        <f t="shared" si="24"/>
        <v>-5282</v>
      </c>
      <c r="T18" s="41">
        <f t="shared" si="24"/>
        <v>-15559</v>
      </c>
      <c r="U18" s="41">
        <f t="shared" si="24"/>
        <v>-14688</v>
      </c>
      <c r="V18" s="41">
        <f t="shared" si="24"/>
        <v>-9834</v>
      </c>
      <c r="W18" s="42">
        <f t="shared" si="24"/>
        <v>9298</v>
      </c>
      <c r="Y18" s="41">
        <f t="shared" si="0"/>
        <v>40765.178689761669</v>
      </c>
      <c r="Z18" s="41">
        <f t="shared" si="1"/>
        <v>35191.821310238331</v>
      </c>
      <c r="AA18" s="41">
        <f t="shared" si="12"/>
        <v>29600</v>
      </c>
      <c r="AB18" s="41">
        <f t="shared" si="2"/>
        <v>28610</v>
      </c>
      <c r="AC18" s="41">
        <f t="shared" si="3"/>
        <v>28083.245525462145</v>
      </c>
      <c r="AD18" s="41">
        <f>N18-M18</f>
        <v>23843.754474537855</v>
      </c>
      <c r="AE18" s="41">
        <f>O18</f>
        <v>24189</v>
      </c>
      <c r="AF18" s="41">
        <f t="shared" si="6"/>
        <v>24787</v>
      </c>
      <c r="AG18" s="41">
        <f t="shared" si="7"/>
        <v>9334</v>
      </c>
      <c r="AH18" s="41">
        <f t="shared" si="8"/>
        <v>1213</v>
      </c>
      <c r="AI18" s="41">
        <f t="shared" si="13"/>
        <v>-5282</v>
      </c>
      <c r="AJ18" s="41">
        <f t="shared" si="9"/>
        <v>-10277</v>
      </c>
      <c r="AK18" s="41">
        <f t="shared" si="10"/>
        <v>871</v>
      </c>
      <c r="AL18" s="41">
        <f t="shared" si="11"/>
        <v>4854</v>
      </c>
      <c r="AM18" s="42">
        <f t="shared" si="14"/>
        <v>9298</v>
      </c>
    </row>
    <row r="19" spans="2:39" s="10" customFormat="1" ht="9" customHeight="1" x14ac:dyDescent="0.25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</row>
    <row r="20" spans="2:39" s="10" customFormat="1" x14ac:dyDescent="0.25">
      <c r="E20" s="87"/>
      <c r="F20" s="87"/>
      <c r="G20" s="87"/>
      <c r="H20" s="87"/>
      <c r="I20" s="87"/>
      <c r="J20" s="87"/>
      <c r="K20" s="87"/>
      <c r="L20" s="87"/>
      <c r="M20" s="87"/>
      <c r="S20" s="27"/>
      <c r="T20" s="27"/>
      <c r="U20" s="27"/>
      <c r="V20" s="27"/>
      <c r="W20" s="27" t="s">
        <v>29</v>
      </c>
      <c r="X20" s="27"/>
      <c r="Y20" s="87"/>
      <c r="Z20" s="87"/>
      <c r="AA20" s="87"/>
      <c r="AB20" s="87"/>
      <c r="AC20" s="87"/>
      <c r="AG20" s="90"/>
      <c r="AI20" s="27"/>
      <c r="AJ20" s="27"/>
      <c r="AK20" s="27"/>
      <c r="AL20" s="27"/>
      <c r="AM20" s="27" t="s">
        <v>29</v>
      </c>
    </row>
    <row r="21" spans="2:39" x14ac:dyDescent="0.25">
      <c r="D21" s="44"/>
      <c r="G21" s="91"/>
    </row>
    <row r="22" spans="2:39" x14ac:dyDescent="0.25">
      <c r="G22" s="92"/>
    </row>
    <row r="23" spans="2:39" ht="15" thickBot="1" x14ac:dyDescent="0.3">
      <c r="D23" s="23"/>
      <c r="E23" s="45" t="s">
        <v>6</v>
      </c>
      <c r="F23" s="33" t="s">
        <v>115</v>
      </c>
      <c r="G23" s="45" t="s">
        <v>3</v>
      </c>
      <c r="H23" s="33" t="s">
        <v>116</v>
      </c>
      <c r="I23" s="33" t="s">
        <v>117</v>
      </c>
      <c r="J23" s="45" t="s">
        <v>4</v>
      </c>
      <c r="K23" s="33" t="s">
        <v>118</v>
      </c>
      <c r="L23" s="33" t="s">
        <v>119</v>
      </c>
      <c r="M23" s="33" t="s">
        <v>120</v>
      </c>
      <c r="N23" s="33" t="s">
        <v>14</v>
      </c>
      <c r="O23" s="33" t="s">
        <v>121</v>
      </c>
      <c r="P23" s="33" t="s">
        <v>122</v>
      </c>
      <c r="Q23" s="33" t="s">
        <v>123</v>
      </c>
      <c r="R23" s="45" t="s">
        <v>16</v>
      </c>
      <c r="S23" s="45" t="s">
        <v>17</v>
      </c>
      <c r="T23" s="45" t="s">
        <v>88</v>
      </c>
      <c r="U23" s="45" t="s">
        <v>92</v>
      </c>
      <c r="V23" s="45" t="s">
        <v>95</v>
      </c>
      <c r="W23" s="34" t="s">
        <v>193</v>
      </c>
      <c r="Y23" s="33" t="s">
        <v>124</v>
      </c>
      <c r="Z23" s="33" t="s">
        <v>125</v>
      </c>
      <c r="AA23" s="33" t="s">
        <v>126</v>
      </c>
      <c r="AB23" s="33" t="s">
        <v>127</v>
      </c>
      <c r="AC23" s="33" t="s">
        <v>128</v>
      </c>
      <c r="AD23" s="33" t="s">
        <v>129</v>
      </c>
      <c r="AE23" s="33" t="s">
        <v>130</v>
      </c>
      <c r="AF23" s="33" t="s">
        <v>131</v>
      </c>
      <c r="AG23" s="33" t="s">
        <v>132</v>
      </c>
      <c r="AH23" s="33" t="s">
        <v>133</v>
      </c>
      <c r="AI23" s="33" t="s">
        <v>41</v>
      </c>
      <c r="AJ23" s="33" t="s">
        <v>89</v>
      </c>
      <c r="AK23" s="33" t="s">
        <v>93</v>
      </c>
      <c r="AL23" s="33" t="s">
        <v>94</v>
      </c>
      <c r="AM23" s="34" t="s">
        <v>194</v>
      </c>
    </row>
    <row r="24" spans="2:39" x14ac:dyDescent="0.25">
      <c r="D24" s="46" t="s">
        <v>39</v>
      </c>
      <c r="E24" s="47">
        <f>-E7/E6</f>
        <v>0.64686526463054139</v>
      </c>
      <c r="F24" s="47">
        <f>-F7/F6</f>
        <v>0.67806693457017408</v>
      </c>
      <c r="G24" s="47">
        <f t="shared" ref="G24:I24" si="25">-G7/G6</f>
        <v>0.67970616382104021</v>
      </c>
      <c r="H24" s="47">
        <f t="shared" si="25"/>
        <v>0.64370165745856356</v>
      </c>
      <c r="I24" s="47">
        <f t="shared" si="25"/>
        <v>0.61770867470308044</v>
      </c>
      <c r="J24" s="47">
        <f>-J7/J6</f>
        <v>0.61498308427572124</v>
      </c>
      <c r="K24" s="47">
        <f>-K7/K6</f>
        <v>0.65791687077722216</v>
      </c>
      <c r="L24" s="47">
        <f t="shared" ref="L24:U24" si="26">-L7/L6</f>
        <v>0.65341645393389347</v>
      </c>
      <c r="M24" s="47">
        <f t="shared" si="26"/>
        <v>0.65935325154689928</v>
      </c>
      <c r="N24" s="47">
        <f t="shared" si="26"/>
        <v>0.67724146056316326</v>
      </c>
      <c r="O24" s="47">
        <f t="shared" si="26"/>
        <v>0.69145899659677246</v>
      </c>
      <c r="P24" s="47">
        <f t="shared" si="26"/>
        <v>0.70226536484213531</v>
      </c>
      <c r="Q24" s="47">
        <f t="shared" si="26"/>
        <v>0.72830126142696971</v>
      </c>
      <c r="R24" s="47">
        <f t="shared" si="26"/>
        <v>0.75667825463250304</v>
      </c>
      <c r="S24" s="47">
        <f t="shared" si="26"/>
        <v>0.8630382592040301</v>
      </c>
      <c r="T24" s="47">
        <f t="shared" si="26"/>
        <v>0.88871597520432188</v>
      </c>
      <c r="U24" s="47">
        <f t="shared" si="26"/>
        <v>0.87312832694178921</v>
      </c>
      <c r="V24" s="47">
        <f t="shared" ref="V24:W24" si="27">-V7/V6</f>
        <v>0.85514249687972776</v>
      </c>
      <c r="W24" s="48">
        <f t="shared" si="27"/>
        <v>0.78883256892379039</v>
      </c>
      <c r="Y24" s="47">
        <f t="shared" ref="Y24:AG24" si="28">-Y7/Y6</f>
        <v>0.56634394796042486</v>
      </c>
      <c r="Z24" s="47">
        <f t="shared" si="28"/>
        <v>0.60702079619173344</v>
      </c>
      <c r="AA24" s="47">
        <f t="shared" si="28"/>
        <v>0.65791687077722216</v>
      </c>
      <c r="AB24" s="47">
        <f t="shared" si="28"/>
        <v>0.64898204519892355</v>
      </c>
      <c r="AC24" s="47">
        <f t="shared" si="28"/>
        <v>0.67098447235863878</v>
      </c>
      <c r="AD24" s="47">
        <f t="shared" si="28"/>
        <v>0.72978463657366088</v>
      </c>
      <c r="AE24" s="47">
        <f t="shared" si="28"/>
        <v>0.69145899659677246</v>
      </c>
      <c r="AF24" s="47">
        <f t="shared" si="28"/>
        <v>0.71285344854631749</v>
      </c>
      <c r="AG24" s="47">
        <f t="shared" si="28"/>
        <v>0.77873172613984165</v>
      </c>
      <c r="AH24" s="47">
        <f t="shared" ref="AH24:AM24" si="29">-AH7/AH6</f>
        <v>0.83901234567901239</v>
      </c>
      <c r="AI24" s="47">
        <f t="shared" si="29"/>
        <v>0.8630382592040301</v>
      </c>
      <c r="AJ24" s="47">
        <f t="shared" si="29"/>
        <v>0.91388066289818681</v>
      </c>
      <c r="AK24" s="47">
        <f t="shared" si="29"/>
        <v>0.84271864338073843</v>
      </c>
      <c r="AL24" s="47">
        <f t="shared" si="29"/>
        <v>0.80228112895696391</v>
      </c>
      <c r="AM24" s="48">
        <f t="shared" si="29"/>
        <v>0.78883256892379039</v>
      </c>
    </row>
    <row r="25" spans="2:39" ht="15" thickBot="1" x14ac:dyDescent="0.3">
      <c r="D25" s="46" t="s">
        <v>40</v>
      </c>
      <c r="E25" s="47">
        <f>-(E8+E9)/E6</f>
        <v>0.20880839996618844</v>
      </c>
      <c r="F25" s="47">
        <f>-(F8+F9)/F6</f>
        <v>0.19615531286821644</v>
      </c>
      <c r="G25" s="47">
        <f t="shared" ref="G25:I25" si="30">-(G8+G9)/G6</f>
        <v>0.19903201124991518</v>
      </c>
      <c r="H25" s="47">
        <f t="shared" si="30"/>
        <v>0.21349447513812156</v>
      </c>
      <c r="I25" s="47">
        <f t="shared" si="30"/>
        <v>0.21482060547230089</v>
      </c>
      <c r="J25" s="47">
        <f>-(J8+J9)/J6</f>
        <v>0.21883287765450474</v>
      </c>
      <c r="K25" s="47">
        <f>-(K8+K9)/K6</f>
        <v>0.19630660024215985</v>
      </c>
      <c r="L25" s="47">
        <f t="shared" ref="L25:U25" si="31">-(L8+L9)/L6</f>
        <v>0.20176700084634386</v>
      </c>
      <c r="M25" s="47">
        <f t="shared" si="31"/>
        <v>0.2045721926805609</v>
      </c>
      <c r="N25" s="47">
        <f t="shared" si="31"/>
        <v>0.20535544357944915</v>
      </c>
      <c r="O25" s="47">
        <f t="shared" si="31"/>
        <v>0.19826545175101548</v>
      </c>
      <c r="P25" s="47">
        <f t="shared" si="31"/>
        <v>0.19801285374395289</v>
      </c>
      <c r="Q25" s="47">
        <f t="shared" si="31"/>
        <v>0.20086085784200289</v>
      </c>
      <c r="R25" s="47">
        <f t="shared" si="31"/>
        <v>0.20629280950250209</v>
      </c>
      <c r="S25" s="47">
        <f t="shared" si="31"/>
        <v>0.21045404653725561</v>
      </c>
      <c r="T25" s="47">
        <f t="shared" si="31"/>
        <v>0.19651916816733619</v>
      </c>
      <c r="U25" s="47">
        <f t="shared" si="31"/>
        <v>0.19528075095873162</v>
      </c>
      <c r="V25" s="47">
        <f t="shared" ref="V25:W25" si="32">-(V8+V9)/V6</f>
        <v>0.19934295448406339</v>
      </c>
      <c r="W25" s="48">
        <f t="shared" si="32"/>
        <v>0.19620644134919696</v>
      </c>
      <c r="Y25" s="47">
        <f t="shared" ref="Y25:AF25" si="33">-(Y8+Y9)/Y6</f>
        <v>0.21744117129504786</v>
      </c>
      <c r="Z25" s="47">
        <f t="shared" si="33"/>
        <v>0.23055395895321951</v>
      </c>
      <c r="AA25" s="47">
        <f t="shared" si="33"/>
        <v>0.19630660024215985</v>
      </c>
      <c r="AB25" s="47">
        <f t="shared" si="33"/>
        <v>0.20714731315486301</v>
      </c>
      <c r="AC25" s="47">
        <f t="shared" si="33"/>
        <v>0.21006805219438179</v>
      </c>
      <c r="AD25" s="47">
        <f t="shared" si="33"/>
        <v>0.20765609256019665</v>
      </c>
      <c r="AE25" s="47">
        <f t="shared" si="33"/>
        <v>0.19826545175101548</v>
      </c>
      <c r="AF25" s="47">
        <f t="shared" si="33"/>
        <v>0.1977653581208571</v>
      </c>
      <c r="AG25" s="47">
        <f t="shared" ref="AG25:AL25" si="34">-(AG8+AG9)/AG6</f>
        <v>0.20637732506643047</v>
      </c>
      <c r="AH25" s="47">
        <f t="shared" si="34"/>
        <v>0.22205328135152697</v>
      </c>
      <c r="AI25" s="47">
        <f t="shared" si="34"/>
        <v>0.21045404653725561</v>
      </c>
      <c r="AJ25" s="47">
        <f t="shared" si="34"/>
        <v>0.18286270190581086</v>
      </c>
      <c r="AK25" s="47">
        <f t="shared" si="34"/>
        <v>0.19286474343816504</v>
      </c>
      <c r="AL25" s="47">
        <f t="shared" si="34"/>
        <v>0.21128199952055918</v>
      </c>
      <c r="AM25" s="48">
        <f t="shared" ref="AM25" si="35">-(AM8+AM9)/AM6</f>
        <v>0.19620644134919696</v>
      </c>
    </row>
    <row r="26" spans="2:39" ht="15" thickBot="1" x14ac:dyDescent="0.3">
      <c r="D26" s="40" t="s">
        <v>36</v>
      </c>
      <c r="E26" s="49">
        <f>-(E7+E8+E9)/E6</f>
        <v>0.85567366459672989</v>
      </c>
      <c r="F26" s="49">
        <f>-(F7+F8+F9)/F6</f>
        <v>0.8742222474383905</v>
      </c>
      <c r="G26" s="49">
        <f t="shared" ref="G26:I26" si="36">-(G7+G8+G9)/G6</f>
        <v>0.87873817507095542</v>
      </c>
      <c r="H26" s="49">
        <f t="shared" si="36"/>
        <v>0.85719613259668503</v>
      </c>
      <c r="I26" s="49">
        <f t="shared" si="36"/>
        <v>0.83252928017538153</v>
      </c>
      <c r="J26" s="49">
        <f>-(J7+J8+J9)/J6</f>
        <v>0.83381596193022589</v>
      </c>
      <c r="K26" s="49">
        <f>-(K7+K8+K9)/K6</f>
        <v>0.85422347101938201</v>
      </c>
      <c r="L26" s="49">
        <f t="shared" ref="L26:U26" si="37">-(L7+L8+L9)/L6</f>
        <v>0.85518345478023727</v>
      </c>
      <c r="M26" s="49">
        <f t="shared" si="37"/>
        <v>0.8639254442274602</v>
      </c>
      <c r="N26" s="49">
        <f t="shared" si="37"/>
        <v>0.88259690414261249</v>
      </c>
      <c r="O26" s="49">
        <f t="shared" si="37"/>
        <v>0.88972444834778786</v>
      </c>
      <c r="P26" s="49">
        <f t="shared" si="37"/>
        <v>0.90027821858608814</v>
      </c>
      <c r="Q26" s="49">
        <f t="shared" si="37"/>
        <v>0.92916211926897252</v>
      </c>
      <c r="R26" s="49">
        <f t="shared" si="37"/>
        <v>0.96297106413500522</v>
      </c>
      <c r="S26" s="49">
        <f t="shared" si="37"/>
        <v>1.0734923057412857</v>
      </c>
      <c r="T26" s="49">
        <f t="shared" si="37"/>
        <v>1.0852351433716581</v>
      </c>
      <c r="U26" s="49">
        <f t="shared" si="37"/>
        <v>1.0684090779005209</v>
      </c>
      <c r="V26" s="49">
        <f t="shared" ref="V26:W26" si="38">-(V7+V8+V9)/V6</f>
        <v>1.0544854513637911</v>
      </c>
      <c r="W26" s="50">
        <f t="shared" si="38"/>
        <v>0.98503901027298724</v>
      </c>
      <c r="Y26" s="49">
        <f t="shared" ref="Y26:AG26" si="39">-(Y7+Y8+Y9)/Y6</f>
        <v>0.78378511925547267</v>
      </c>
      <c r="Z26" s="49">
        <f t="shared" si="39"/>
        <v>0.83757475514495305</v>
      </c>
      <c r="AA26" s="49">
        <f t="shared" si="39"/>
        <v>0.85422347101938201</v>
      </c>
      <c r="AB26" s="49">
        <f t="shared" si="39"/>
        <v>0.85612935835378656</v>
      </c>
      <c r="AC26" s="49">
        <f t="shared" si="39"/>
        <v>0.88105252455302052</v>
      </c>
      <c r="AD26" s="49">
        <f t="shared" si="39"/>
        <v>0.93744072913385756</v>
      </c>
      <c r="AE26" s="49">
        <f t="shared" si="39"/>
        <v>0.88972444834778786</v>
      </c>
      <c r="AF26" s="49">
        <f t="shared" si="39"/>
        <v>0.91061880666717465</v>
      </c>
      <c r="AG26" s="49">
        <f t="shared" si="39"/>
        <v>0.98510905120627212</v>
      </c>
      <c r="AH26" s="49">
        <f t="shared" ref="AH26:AM26" si="40">-(AH7+AH8+AH9)/AH6</f>
        <v>1.0610656270305394</v>
      </c>
      <c r="AI26" s="49">
        <f t="shared" si="40"/>
        <v>1.0734923057412857</v>
      </c>
      <c r="AJ26" s="49">
        <f t="shared" si="40"/>
        <v>1.0967433648039977</v>
      </c>
      <c r="AK26" s="49">
        <f t="shared" si="40"/>
        <v>1.0355833868189035</v>
      </c>
      <c r="AL26" s="49">
        <f t="shared" si="40"/>
        <v>1.0135631284775231</v>
      </c>
      <c r="AM26" s="50">
        <f t="shared" si="40"/>
        <v>0.98503901027298724</v>
      </c>
    </row>
    <row r="29" spans="2:39" x14ac:dyDescent="0.25">
      <c r="AG29" s="93"/>
      <c r="AH29" s="93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colBreaks count="1" manualBreakCount="1">
    <brk id="32" max="1048575" man="1"/>
  </colBreaks>
  <ignoredErrors>
    <ignoredError sqref="E10:U10 E17:T17 V10:W10 E13:U14 E11:T12 E16:U16 E15:T1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X30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19" width="11.28515625" style="10" customWidth="1"/>
    <col min="20" max="21" width="11.28515625" style="10" hidden="1" customWidth="1" outlineLevel="1"/>
    <col min="22" max="22" width="11.28515625" style="10" customWidth="1" collapsed="1"/>
    <col min="23" max="23" width="11.28515625" style="10" customWidth="1"/>
    <col min="24" max="16384" width="11.42578125" style="10"/>
  </cols>
  <sheetData>
    <row r="1" spans="2:24" ht="16.5" customHeight="1" x14ac:dyDescent="0.25"/>
    <row r="2" spans="2:24" ht="18.75" customHeight="1" thickBot="1" x14ac:dyDescent="0.3">
      <c r="B2" s="11" t="s">
        <v>27</v>
      </c>
      <c r="D2" s="14" t="s">
        <v>144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x14ac:dyDescent="0.25">
      <c r="B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spans="2:24" x14ac:dyDescent="0.25">
      <c r="B4" s="51"/>
      <c r="D4" s="53"/>
      <c r="E4" s="177" t="s">
        <v>96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</row>
    <row r="5" spans="2:24" ht="15" thickBot="1" x14ac:dyDescent="0.3">
      <c r="B5" s="51"/>
      <c r="D5" s="23"/>
      <c r="E5" s="17" t="s">
        <v>6</v>
      </c>
      <c r="F5" s="17" t="s">
        <v>115</v>
      </c>
      <c r="G5" s="17" t="s">
        <v>3</v>
      </c>
      <c r="H5" s="17" t="s">
        <v>116</v>
      </c>
      <c r="I5" s="17" t="s">
        <v>117</v>
      </c>
      <c r="J5" s="17" t="s">
        <v>4</v>
      </c>
      <c r="K5" s="17" t="s">
        <v>118</v>
      </c>
      <c r="L5" s="17" t="s">
        <v>119</v>
      </c>
      <c r="M5" s="17" t="s">
        <v>120</v>
      </c>
      <c r="N5" s="17" t="s">
        <v>14</v>
      </c>
      <c r="O5" s="17" t="s">
        <v>121</v>
      </c>
      <c r="P5" s="17" t="s">
        <v>122</v>
      </c>
      <c r="Q5" s="17" t="s">
        <v>123</v>
      </c>
      <c r="R5" s="17" t="s">
        <v>16</v>
      </c>
      <c r="S5" s="17" t="s">
        <v>17</v>
      </c>
      <c r="T5" s="17" t="s">
        <v>88</v>
      </c>
      <c r="U5" s="17" t="s">
        <v>92</v>
      </c>
      <c r="V5" s="17" t="s">
        <v>95</v>
      </c>
      <c r="W5" s="18" t="s">
        <v>193</v>
      </c>
      <c r="X5" s="54" t="s">
        <v>0</v>
      </c>
    </row>
    <row r="6" spans="2:24" x14ac:dyDescent="0.25">
      <c r="B6" s="51"/>
      <c r="D6" s="46" t="s">
        <v>15</v>
      </c>
      <c r="E6" s="43">
        <v>741178</v>
      </c>
      <c r="F6" s="43">
        <v>573625.1777</v>
      </c>
      <c r="G6" s="43">
        <v>761158.29799999995</v>
      </c>
      <c r="H6" s="43">
        <v>377490.58504999999</v>
      </c>
      <c r="I6" s="43">
        <v>567177.75003999996</v>
      </c>
      <c r="J6" s="43">
        <v>754656.36600000004</v>
      </c>
      <c r="K6" s="43">
        <v>178953</v>
      </c>
      <c r="L6" s="43">
        <v>373701</v>
      </c>
      <c r="M6" s="43">
        <v>563300.91514000006</v>
      </c>
      <c r="N6" s="43">
        <v>748100</v>
      </c>
      <c r="O6" s="43">
        <v>181928</v>
      </c>
      <c r="P6" s="43">
        <v>383206</v>
      </c>
      <c r="Q6" s="43">
        <v>579419</v>
      </c>
      <c r="R6" s="55">
        <v>772787</v>
      </c>
      <c r="S6" s="55">
        <v>191528</v>
      </c>
      <c r="T6" s="55">
        <v>396108</v>
      </c>
      <c r="U6" s="55">
        <v>595240</v>
      </c>
      <c r="V6" s="55">
        <v>792684</v>
      </c>
      <c r="W6" s="56">
        <v>195771</v>
      </c>
      <c r="X6" s="57">
        <f>+W6/S6-1</f>
        <v>2.2153418821268867E-2</v>
      </c>
    </row>
    <row r="7" spans="2:24" x14ac:dyDescent="0.25">
      <c r="B7" s="51"/>
      <c r="D7" s="46" t="s">
        <v>21</v>
      </c>
      <c r="E7" s="43">
        <v>100691</v>
      </c>
      <c r="F7" s="43">
        <v>82446.400180000026</v>
      </c>
      <c r="G7" s="43">
        <v>111356.549</v>
      </c>
      <c r="H7" s="43">
        <v>59705.956969999999</v>
      </c>
      <c r="I7" s="43">
        <v>89543.79578</v>
      </c>
      <c r="J7" s="43">
        <v>120653.628</v>
      </c>
      <c r="K7" s="43">
        <v>31764</v>
      </c>
      <c r="L7" s="43">
        <v>64779</v>
      </c>
      <c r="M7" s="43">
        <v>97044.810309999986</v>
      </c>
      <c r="N7" s="43">
        <v>131243</v>
      </c>
      <c r="O7" s="43">
        <v>35256</v>
      </c>
      <c r="P7" s="43">
        <v>71667</v>
      </c>
      <c r="Q7" s="43">
        <v>106896</v>
      </c>
      <c r="R7" s="55">
        <v>143713</v>
      </c>
      <c r="S7" s="55">
        <v>37607</v>
      </c>
      <c r="T7" s="55">
        <v>75283</v>
      </c>
      <c r="U7" s="55">
        <v>111604</v>
      </c>
      <c r="V7" s="55">
        <v>149430</v>
      </c>
      <c r="W7" s="56">
        <v>39270</v>
      </c>
      <c r="X7" s="57">
        <f t="shared" ref="X7:X10" si="0">+W7/S7-1</f>
        <v>4.4220490866062168E-2</v>
      </c>
    </row>
    <row r="8" spans="2:24" x14ac:dyDescent="0.25">
      <c r="B8" s="51"/>
      <c r="D8" s="46" t="s">
        <v>22</v>
      </c>
      <c r="E8" s="43">
        <v>7518</v>
      </c>
      <c r="F8" s="43">
        <v>12243.391560000002</v>
      </c>
      <c r="G8" s="43">
        <v>15744</v>
      </c>
      <c r="H8" s="43">
        <v>13257.647209999999</v>
      </c>
      <c r="I8" s="43">
        <v>16876.646899999996</v>
      </c>
      <c r="J8" s="43">
        <v>21826</v>
      </c>
      <c r="K8" s="43">
        <v>12002</v>
      </c>
      <c r="L8" s="43">
        <v>16622</v>
      </c>
      <c r="M8" s="43">
        <v>20912.694649999998</v>
      </c>
      <c r="N8" s="43">
        <v>26449</v>
      </c>
      <c r="O8" s="43">
        <v>13760</v>
      </c>
      <c r="P8" s="43">
        <v>18848</v>
      </c>
      <c r="Q8" s="43">
        <v>23304</v>
      </c>
      <c r="R8" s="55">
        <v>29082</v>
      </c>
      <c r="S8" s="55">
        <v>14335</v>
      </c>
      <c r="T8" s="55">
        <v>19803</v>
      </c>
      <c r="U8" s="55">
        <v>24336</v>
      </c>
      <c r="V8" s="55">
        <v>30384</v>
      </c>
      <c r="W8" s="56">
        <v>15579</v>
      </c>
      <c r="X8" s="57">
        <f t="shared" si="0"/>
        <v>8.6780606906173618E-2</v>
      </c>
    </row>
    <row r="9" spans="2:24" ht="15" thickBot="1" x14ac:dyDescent="0.3">
      <c r="B9" s="51"/>
      <c r="D9" s="46" t="s">
        <v>23</v>
      </c>
      <c r="E9" s="43">
        <v>3733</v>
      </c>
      <c r="F9" s="43">
        <v>2922.9176800000005</v>
      </c>
      <c r="G9" s="43">
        <v>3036</v>
      </c>
      <c r="H9" s="43">
        <v>1455.98549</v>
      </c>
      <c r="I9" s="43">
        <v>1458.5712900000001</v>
      </c>
      <c r="J9" s="43">
        <v>1478</v>
      </c>
      <c r="K9" s="43">
        <v>1349</v>
      </c>
      <c r="L9" s="43">
        <v>1363</v>
      </c>
      <c r="M9" s="43">
        <v>1379.12904</v>
      </c>
      <c r="N9" s="43">
        <v>1397</v>
      </c>
      <c r="O9" s="43">
        <v>1061</v>
      </c>
      <c r="P9" s="43">
        <v>1068</v>
      </c>
      <c r="Q9" s="43">
        <v>1082</v>
      </c>
      <c r="R9" s="55">
        <v>1097</v>
      </c>
      <c r="S9" s="55">
        <v>741</v>
      </c>
      <c r="T9" s="55">
        <v>754</v>
      </c>
      <c r="U9" s="55">
        <v>767</v>
      </c>
      <c r="V9" s="55">
        <v>783</v>
      </c>
      <c r="W9" s="56">
        <v>799</v>
      </c>
      <c r="X9" s="57">
        <f t="shared" si="0"/>
        <v>7.8272604588394135E-2</v>
      </c>
    </row>
    <row r="10" spans="2:24" ht="15" thickBot="1" x14ac:dyDescent="0.3">
      <c r="B10" s="51"/>
      <c r="D10" s="40" t="s">
        <v>1</v>
      </c>
      <c r="E10" s="94">
        <f t="shared" ref="E10:K10" si="1">SUM(E6:E9)</f>
        <v>853120</v>
      </c>
      <c r="F10" s="94">
        <f>SUM(F6:F9)</f>
        <v>671237.88711999997</v>
      </c>
      <c r="G10" s="94">
        <f t="shared" si="1"/>
        <v>891294.84699999995</v>
      </c>
      <c r="H10" s="94">
        <f>SUM(H6:H9)</f>
        <v>451910.17472000001</v>
      </c>
      <c r="I10" s="94">
        <f>SUM(I6:I9)</f>
        <v>675056.76401000004</v>
      </c>
      <c r="J10" s="94">
        <f t="shared" si="1"/>
        <v>898613.99400000006</v>
      </c>
      <c r="K10" s="94">
        <f t="shared" si="1"/>
        <v>224068</v>
      </c>
      <c r="L10" s="94">
        <f t="shared" ref="L10:W10" si="2">SUM(L6:L9)</f>
        <v>456465</v>
      </c>
      <c r="M10" s="94">
        <f t="shared" si="2"/>
        <v>682637.54914000002</v>
      </c>
      <c r="N10" s="94">
        <f t="shared" si="2"/>
        <v>907189</v>
      </c>
      <c r="O10" s="94">
        <f t="shared" si="2"/>
        <v>232005</v>
      </c>
      <c r="P10" s="94">
        <f t="shared" si="2"/>
        <v>474789</v>
      </c>
      <c r="Q10" s="94">
        <f t="shared" si="2"/>
        <v>710701</v>
      </c>
      <c r="R10" s="58">
        <f t="shared" si="2"/>
        <v>946679</v>
      </c>
      <c r="S10" s="58">
        <f t="shared" si="2"/>
        <v>244211</v>
      </c>
      <c r="T10" s="58">
        <f t="shared" si="2"/>
        <v>491948</v>
      </c>
      <c r="U10" s="58">
        <f t="shared" si="2"/>
        <v>731947</v>
      </c>
      <c r="V10" s="58">
        <f t="shared" si="2"/>
        <v>973281</v>
      </c>
      <c r="W10" s="59">
        <f t="shared" si="2"/>
        <v>251419</v>
      </c>
      <c r="X10" s="60">
        <f t="shared" si="0"/>
        <v>2.9515459991564574E-2</v>
      </c>
    </row>
    <row r="11" spans="2:24" x14ac:dyDescent="0.25">
      <c r="B11" s="51"/>
      <c r="D11" s="3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3"/>
      <c r="U11" s="63"/>
      <c r="V11" s="63"/>
      <c r="W11" s="63"/>
    </row>
    <row r="13" spans="2:24" x14ac:dyDescent="0.25">
      <c r="D13" s="53"/>
      <c r="E13" s="177" t="s">
        <v>35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spans="2:24" ht="15" thickBot="1" x14ac:dyDescent="0.3">
      <c r="D14" s="23"/>
      <c r="E14" s="17" t="s">
        <v>6</v>
      </c>
      <c r="F14" s="17" t="s">
        <v>115</v>
      </c>
      <c r="G14" s="17" t="s">
        <v>3</v>
      </c>
      <c r="H14" s="17" t="s">
        <v>116</v>
      </c>
      <c r="I14" s="17" t="s">
        <v>117</v>
      </c>
      <c r="J14" s="17" t="s">
        <v>4</v>
      </c>
      <c r="K14" s="17" t="s">
        <v>118</v>
      </c>
      <c r="L14" s="17" t="s">
        <v>119</v>
      </c>
      <c r="M14" s="17" t="s">
        <v>120</v>
      </c>
      <c r="N14" s="17" t="s">
        <v>14</v>
      </c>
      <c r="O14" s="17" t="s">
        <v>121</v>
      </c>
      <c r="P14" s="17" t="s">
        <v>122</v>
      </c>
      <c r="Q14" s="17" t="s">
        <v>123</v>
      </c>
      <c r="R14" s="17" t="s">
        <v>16</v>
      </c>
      <c r="S14" s="17" t="s">
        <v>17</v>
      </c>
      <c r="T14" s="17" t="s">
        <v>88</v>
      </c>
      <c r="U14" s="17" t="s">
        <v>92</v>
      </c>
      <c r="V14" s="17" t="s">
        <v>95</v>
      </c>
      <c r="W14" s="18" t="s">
        <v>193</v>
      </c>
      <c r="X14" s="64" t="s">
        <v>0</v>
      </c>
    </row>
    <row r="15" spans="2:24" x14ac:dyDescent="0.25">
      <c r="D15" s="46" t="s">
        <v>15</v>
      </c>
      <c r="E15" s="43">
        <v>114974</v>
      </c>
      <c r="F15" s="43">
        <v>77269.079859267789</v>
      </c>
      <c r="G15" s="43">
        <v>106533</v>
      </c>
      <c r="H15" s="43">
        <v>58351</v>
      </c>
      <c r="I15" s="43">
        <v>108794.48834439731</v>
      </c>
      <c r="J15" s="43">
        <v>146481</v>
      </c>
      <c r="K15" s="43">
        <v>31111</v>
      </c>
      <c r="L15" s="43">
        <v>60590</v>
      </c>
      <c r="M15" s="43">
        <v>85631.862512646418</v>
      </c>
      <c r="N15" s="43">
        <v>96993</v>
      </c>
      <c r="O15" s="43">
        <v>21431</v>
      </c>
      <c r="P15" s="43">
        <v>39705</v>
      </c>
      <c r="Q15" s="43">
        <v>45364</v>
      </c>
      <c r="R15" s="55">
        <v>34655</v>
      </c>
      <c r="S15" s="55">
        <v>-15052</v>
      </c>
      <c r="T15" s="55">
        <v>-37683</v>
      </c>
      <c r="U15" s="55">
        <v>-43319</v>
      </c>
      <c r="V15" s="55">
        <v>-43060</v>
      </c>
      <c r="W15" s="56">
        <v>4502</v>
      </c>
      <c r="X15" s="57" t="s">
        <v>195</v>
      </c>
    </row>
    <row r="16" spans="2:24" x14ac:dyDescent="0.25">
      <c r="D16" s="46" t="s">
        <v>21</v>
      </c>
      <c r="E16" s="43">
        <v>8694</v>
      </c>
      <c r="F16" s="43">
        <v>8624.6461006365007</v>
      </c>
      <c r="G16" s="43">
        <v>12347</v>
      </c>
      <c r="H16" s="43">
        <v>6097</v>
      </c>
      <c r="I16" s="43">
        <v>5427.218407247964</v>
      </c>
      <c r="J16" s="43">
        <v>6684</v>
      </c>
      <c r="K16" s="43">
        <v>500</v>
      </c>
      <c r="L16" s="43">
        <v>5090</v>
      </c>
      <c r="M16" s="43">
        <v>8590.3283707111441</v>
      </c>
      <c r="N16" s="43">
        <v>13171</v>
      </c>
      <c r="O16" s="43">
        <v>2338</v>
      </c>
      <c r="P16" s="43">
        <v>6312</v>
      </c>
      <c r="Q16" s="43">
        <v>6339</v>
      </c>
      <c r="R16" s="55">
        <v>5729</v>
      </c>
      <c r="S16" s="55">
        <v>529</v>
      </c>
      <c r="T16" s="55">
        <v>2787</v>
      </c>
      <c r="U16" s="55">
        <v>2394</v>
      </c>
      <c r="V16" s="55">
        <v>2780</v>
      </c>
      <c r="W16" s="56">
        <v>854</v>
      </c>
      <c r="X16" s="57">
        <f t="shared" ref="X16:X18" si="3">+W16/S16-1</f>
        <v>0.61436672967863903</v>
      </c>
    </row>
    <row r="17" spans="4:24" x14ac:dyDescent="0.25">
      <c r="D17" s="46" t="s">
        <v>22</v>
      </c>
      <c r="E17" s="43">
        <v>-7042</v>
      </c>
      <c r="F17" s="43">
        <v>-6229.9020976889951</v>
      </c>
      <c r="G17" s="43">
        <v>-16346</v>
      </c>
      <c r="H17" s="43">
        <v>-2658</v>
      </c>
      <c r="I17" s="43">
        <v>-5037.0967525568076</v>
      </c>
      <c r="J17" s="43">
        <v>-7890</v>
      </c>
      <c r="K17" s="43">
        <v>-161</v>
      </c>
      <c r="L17" s="43">
        <v>-3006</v>
      </c>
      <c r="M17" s="43">
        <v>-5209.2778021447957</v>
      </c>
      <c r="N17" s="43">
        <v>-7210</v>
      </c>
      <c r="O17" s="43">
        <v>75</v>
      </c>
      <c r="P17" s="43">
        <v>-2371</v>
      </c>
      <c r="Q17" s="43">
        <v>-4704</v>
      </c>
      <c r="R17" s="55">
        <v>-7386</v>
      </c>
      <c r="S17" s="55">
        <v>-2386</v>
      </c>
      <c r="T17" s="55">
        <v>-4659</v>
      </c>
      <c r="U17" s="55">
        <v>-7113</v>
      </c>
      <c r="V17" s="55">
        <v>-10990</v>
      </c>
      <c r="W17" s="56">
        <v>-1761</v>
      </c>
      <c r="X17" s="57">
        <f t="shared" si="3"/>
        <v>-0.2619446772841576</v>
      </c>
    </row>
    <row r="18" spans="4:24" ht="15" thickBot="1" x14ac:dyDescent="0.3">
      <c r="D18" s="46" t="s">
        <v>23</v>
      </c>
      <c r="E18" s="43">
        <v>1186</v>
      </c>
      <c r="F18" s="43">
        <v>1003.9744355210007</v>
      </c>
      <c r="G18" s="43">
        <v>1116</v>
      </c>
      <c r="H18" s="43">
        <v>248</v>
      </c>
      <c r="I18" s="43">
        <v>379.24984877120119</v>
      </c>
      <c r="J18" s="43">
        <v>664</v>
      </c>
      <c r="K18" s="43">
        <v>94</v>
      </c>
      <c r="L18" s="43">
        <v>465</v>
      </c>
      <c r="M18" s="43">
        <v>596.55913451119875</v>
      </c>
      <c r="N18" s="43">
        <v>681</v>
      </c>
      <c r="O18" s="43">
        <v>264</v>
      </c>
      <c r="P18" s="43">
        <v>405</v>
      </c>
      <c r="Q18" s="43">
        <v>448</v>
      </c>
      <c r="R18" s="55">
        <v>352</v>
      </c>
      <c r="S18" s="55">
        <v>103</v>
      </c>
      <c r="T18" s="55">
        <v>175</v>
      </c>
      <c r="U18" s="55">
        <v>231</v>
      </c>
      <c r="V18" s="55">
        <v>238</v>
      </c>
      <c r="W18" s="56">
        <v>-59</v>
      </c>
      <c r="X18" s="57">
        <f t="shared" si="3"/>
        <v>-1.5728155339805825</v>
      </c>
    </row>
    <row r="19" spans="4:24" ht="15" thickBot="1" x14ac:dyDescent="0.3">
      <c r="D19" s="40" t="s">
        <v>1</v>
      </c>
      <c r="E19" s="94">
        <f t="shared" ref="E19:K19" si="4">SUM(E15:E18)</f>
        <v>117812</v>
      </c>
      <c r="F19" s="94">
        <f>SUM(F15:F18)</f>
        <v>80667.798297736299</v>
      </c>
      <c r="G19" s="94">
        <f t="shared" si="4"/>
        <v>103650</v>
      </c>
      <c r="H19" s="94">
        <f>SUM(H15:H18)</f>
        <v>62038</v>
      </c>
      <c r="I19" s="94">
        <f>SUM(I15:I18)</f>
        <v>109563.85984785965</v>
      </c>
      <c r="J19" s="94">
        <f t="shared" si="4"/>
        <v>145939</v>
      </c>
      <c r="K19" s="94">
        <f t="shared" si="4"/>
        <v>31544</v>
      </c>
      <c r="L19" s="94">
        <f t="shared" ref="L19:W19" si="5">SUM(L15:L18)</f>
        <v>63139</v>
      </c>
      <c r="M19" s="94">
        <f t="shared" si="5"/>
        <v>89609.472215723959</v>
      </c>
      <c r="N19" s="94">
        <f t="shared" si="5"/>
        <v>103635</v>
      </c>
      <c r="O19" s="94">
        <f t="shared" si="5"/>
        <v>24108</v>
      </c>
      <c r="P19" s="58">
        <f t="shared" si="5"/>
        <v>44051</v>
      </c>
      <c r="Q19" s="94">
        <f t="shared" si="5"/>
        <v>47447</v>
      </c>
      <c r="R19" s="58">
        <f t="shared" si="5"/>
        <v>33350</v>
      </c>
      <c r="S19" s="58">
        <f t="shared" si="5"/>
        <v>-16806</v>
      </c>
      <c r="T19" s="58">
        <f t="shared" si="5"/>
        <v>-39380</v>
      </c>
      <c r="U19" s="58">
        <f t="shared" si="5"/>
        <v>-47807</v>
      </c>
      <c r="V19" s="58">
        <f t="shared" si="5"/>
        <v>-51032</v>
      </c>
      <c r="W19" s="59">
        <f t="shared" si="5"/>
        <v>3536</v>
      </c>
      <c r="X19" s="60" t="s">
        <v>195</v>
      </c>
    </row>
    <row r="22" spans="4:24" x14ac:dyDescent="0.25">
      <c r="D22" s="53"/>
      <c r="E22" s="177" t="s">
        <v>36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spans="4:24" ht="15" thickBot="1" x14ac:dyDescent="0.3">
      <c r="D23" s="23"/>
      <c r="E23" s="17" t="s">
        <v>6</v>
      </c>
      <c r="F23" s="17" t="s">
        <v>115</v>
      </c>
      <c r="G23" s="17" t="s">
        <v>3</v>
      </c>
      <c r="H23" s="17" t="s">
        <v>116</v>
      </c>
      <c r="I23" s="17" t="s">
        <v>117</v>
      </c>
      <c r="J23" s="17" t="s">
        <v>4</v>
      </c>
      <c r="K23" s="17" t="s">
        <v>118</v>
      </c>
      <c r="L23" s="17" t="s">
        <v>119</v>
      </c>
      <c r="M23" s="17" t="s">
        <v>120</v>
      </c>
      <c r="N23" s="17" t="s">
        <v>14</v>
      </c>
      <c r="O23" s="17" t="s">
        <v>121</v>
      </c>
      <c r="P23" s="17" t="s">
        <v>122</v>
      </c>
      <c r="Q23" s="17" t="s">
        <v>123</v>
      </c>
      <c r="R23" s="17" t="s">
        <v>16</v>
      </c>
      <c r="S23" s="17" t="s">
        <v>17</v>
      </c>
      <c r="T23" s="17" t="s">
        <v>88</v>
      </c>
      <c r="U23" s="17" t="s">
        <v>92</v>
      </c>
      <c r="V23" s="17" t="s">
        <v>95</v>
      </c>
      <c r="W23" s="18" t="s">
        <v>193</v>
      </c>
      <c r="X23" s="66" t="s">
        <v>13</v>
      </c>
    </row>
    <row r="24" spans="4:24" x14ac:dyDescent="0.25">
      <c r="D24" s="46" t="s">
        <v>15</v>
      </c>
      <c r="E24" s="67">
        <v>0.83998519180371911</v>
      </c>
      <c r="F24" s="67">
        <v>0.86158632267781621</v>
      </c>
      <c r="G24" s="67">
        <v>0.85763501441249534</v>
      </c>
      <c r="H24" s="67">
        <v>0.84404485621970904</v>
      </c>
      <c r="I24" s="67">
        <v>0.80661844089481582</v>
      </c>
      <c r="J24" s="67">
        <v>0.80536802173783062</v>
      </c>
      <c r="K24" s="67">
        <v>0.83116221798944634</v>
      </c>
      <c r="L24" s="67">
        <v>0.83659919203033395</v>
      </c>
      <c r="M24" s="67">
        <v>0.84690835828096978</v>
      </c>
      <c r="N24" s="67">
        <v>0.87021020482720701</v>
      </c>
      <c r="O24" s="67">
        <v>0.88320280779774274</v>
      </c>
      <c r="P24" s="67">
        <v>0.89279668224564013</v>
      </c>
      <c r="Q24" s="67">
        <v>0.91914849628750372</v>
      </c>
      <c r="R24" s="67">
        <v>0.95399440843884997</v>
      </c>
      <c r="S24" s="67">
        <v>1.0792177171487516</v>
      </c>
      <c r="T24" s="67">
        <v>1.098209282748807</v>
      </c>
      <c r="U24" s="67">
        <v>1.074650863019742</v>
      </c>
      <c r="V24" s="67">
        <v>1.0553623190785402</v>
      </c>
      <c r="W24" s="68">
        <v>0.97701212661917558</v>
      </c>
      <c r="X24" s="69">
        <f>(W24-S24)*100</f>
        <v>-10.220559052957601</v>
      </c>
    </row>
    <row r="25" spans="4:24" x14ac:dyDescent="0.25">
      <c r="D25" s="46" t="s">
        <v>21</v>
      </c>
      <c r="E25" s="67">
        <v>0.90591520031166817</v>
      </c>
      <c r="F25" s="67">
        <v>0.88654844417606182</v>
      </c>
      <c r="G25" s="67">
        <v>0.87972920319501269</v>
      </c>
      <c r="H25" s="67">
        <v>0.88768668779024995</v>
      </c>
      <c r="I25" s="67">
        <v>0.93426737590583953</v>
      </c>
      <c r="J25" s="67">
        <v>0.94007853262331231</v>
      </c>
      <c r="K25" s="67">
        <v>0.98259656541624618</v>
      </c>
      <c r="L25" s="67">
        <v>0.91249183371729181</v>
      </c>
      <c r="M25" s="67">
        <v>0.90270149047864323</v>
      </c>
      <c r="N25" s="67">
        <v>0.88937857458516889</v>
      </c>
      <c r="O25" s="67">
        <v>0.92431697526867795</v>
      </c>
      <c r="P25" s="67">
        <v>0.89984290950635504</v>
      </c>
      <c r="Q25" s="67">
        <v>0.93413478522890214</v>
      </c>
      <c r="R25" s="67">
        <v>0.95586252590543841</v>
      </c>
      <c r="S25" s="67">
        <v>0.98463683094705656</v>
      </c>
      <c r="T25" s="67">
        <v>0.96009507309460063</v>
      </c>
      <c r="U25" s="67">
        <v>0.97736298649721998</v>
      </c>
      <c r="V25" s="67">
        <v>0.98041877476730577</v>
      </c>
      <c r="W25" s="68">
        <v>0.97628447053865774</v>
      </c>
      <c r="X25" s="69">
        <f t="shared" ref="X25:X28" si="6">(W25-S25)*100</f>
        <v>-0.83523604083988179</v>
      </c>
    </row>
    <row r="26" spans="4:24" x14ac:dyDescent="0.25">
      <c r="D26" s="46" t="s">
        <v>22</v>
      </c>
      <c r="E26" s="67">
        <v>4.2799254774103401</v>
      </c>
      <c r="F26" s="67">
        <v>2.3088475175085561</v>
      </c>
      <c r="G26" s="67">
        <v>22.852941176470587</v>
      </c>
      <c r="H26" s="67">
        <v>1.5441852187619376</v>
      </c>
      <c r="I26" s="67">
        <v>1.6647337419040928</v>
      </c>
      <c r="J26" s="67">
        <v>1.656405990016639</v>
      </c>
      <c r="K26" s="67">
        <v>1.0528599565326944</v>
      </c>
      <c r="L26" s="67">
        <v>1.4739829706717125</v>
      </c>
      <c r="M26" s="67">
        <v>1.5282904972535181</v>
      </c>
      <c r="N26" s="67">
        <v>1.4811908131874167</v>
      </c>
      <c r="O26" s="67">
        <v>0.98002131060202446</v>
      </c>
      <c r="P26" s="67">
        <v>1.3115637319316689</v>
      </c>
      <c r="Q26" s="67">
        <v>1.40635798203179</v>
      </c>
      <c r="R26" s="67">
        <v>1.4475007573462586</v>
      </c>
      <c r="S26" s="67">
        <v>1.5962018990504747</v>
      </c>
      <c r="T26" s="67">
        <v>1.5778963036467377</v>
      </c>
      <c r="U26" s="67">
        <v>1.5828416912487708</v>
      </c>
      <c r="V26" s="67">
        <v>1.6823822578171637</v>
      </c>
      <c r="W26" s="68">
        <v>1.4075097705999671</v>
      </c>
      <c r="X26" s="69">
        <f t="shared" si="6"/>
        <v>-18.869212845050765</v>
      </c>
    </row>
    <row r="27" spans="4:24" ht="15" thickBot="1" x14ac:dyDescent="0.3">
      <c r="D27" s="46" t="s">
        <v>23</v>
      </c>
      <c r="E27" s="67">
        <v>0.63110419906687398</v>
      </c>
      <c r="F27" s="67">
        <v>0.56801466267811263</v>
      </c>
      <c r="G27" s="67">
        <v>0.63316912972085382</v>
      </c>
      <c r="H27" s="67">
        <v>0.76975401576572056</v>
      </c>
      <c r="I27" s="67">
        <v>0.7462364568024481</v>
      </c>
      <c r="J27" s="67">
        <v>0.66899302093718838</v>
      </c>
      <c r="K27" s="67">
        <v>0.71274124047723175</v>
      </c>
      <c r="L27" s="67">
        <v>0.31556677519061266</v>
      </c>
      <c r="M27" s="67">
        <v>0.42239009208261347</v>
      </c>
      <c r="N27" s="67">
        <v>0.50931268712671374</v>
      </c>
      <c r="O27" s="67">
        <v>0.45114345114345117</v>
      </c>
      <c r="P27" s="67">
        <v>0.45047489823609227</v>
      </c>
      <c r="Q27" s="67">
        <v>0.50277469478357384</v>
      </c>
      <c r="R27" s="67">
        <v>0.66948356807511733</v>
      </c>
      <c r="S27" s="67">
        <v>0.55982905982905984</v>
      </c>
      <c r="T27" s="67">
        <v>0.57530000000000003</v>
      </c>
      <c r="U27" s="67">
        <v>0.60980000000000001</v>
      </c>
      <c r="V27" s="67">
        <v>0.69196848381218068</v>
      </c>
      <c r="W27" s="68">
        <v>1.3105082078877708</v>
      </c>
      <c r="X27" s="69">
        <f t="shared" si="6"/>
        <v>75.067914805871098</v>
      </c>
    </row>
    <row r="28" spans="4:24" ht="15" thickBot="1" x14ac:dyDescent="0.3">
      <c r="D28" s="40" t="s">
        <v>1</v>
      </c>
      <c r="E28" s="70">
        <v>0.85567366459672978</v>
      </c>
      <c r="F28" s="70">
        <v>0.8742222474383905</v>
      </c>
      <c r="G28" s="70">
        <v>0.87873817507095542</v>
      </c>
      <c r="H28" s="70">
        <v>0.85718813439399422</v>
      </c>
      <c r="I28" s="70">
        <v>0.83252928017538141</v>
      </c>
      <c r="J28" s="70">
        <v>0.833815961930226</v>
      </c>
      <c r="K28" s="70">
        <v>0.85421891600437738</v>
      </c>
      <c r="L28" s="70">
        <v>0.85518345478023727</v>
      </c>
      <c r="M28" s="70">
        <v>0.8639254442274602</v>
      </c>
      <c r="N28" s="70">
        <v>0.88259779338749644</v>
      </c>
      <c r="O28" s="70">
        <v>0.88972444834778797</v>
      </c>
      <c r="P28" s="70">
        <v>0.90027821858608814</v>
      </c>
      <c r="Q28" s="70">
        <v>0.92916211926897252</v>
      </c>
      <c r="R28" s="70">
        <v>0.96297106413500522</v>
      </c>
      <c r="S28" s="70">
        <v>1.0734923057412857</v>
      </c>
      <c r="T28" s="70">
        <v>1.0852351433716581</v>
      </c>
      <c r="U28" s="70">
        <v>1.0684090779005209</v>
      </c>
      <c r="V28" s="70">
        <v>1.0544851695810065</v>
      </c>
      <c r="W28" s="71">
        <v>0.9850373673196966</v>
      </c>
      <c r="X28" s="72">
        <f t="shared" si="6"/>
        <v>-8.8454938421589127</v>
      </c>
    </row>
    <row r="29" spans="4:24" x14ac:dyDescent="0.25"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3"/>
      <c r="U29" s="63"/>
      <c r="V29" s="63"/>
      <c r="W29" s="63"/>
    </row>
    <row r="30" spans="4:24" x14ac:dyDescent="0.25"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27"/>
      <c r="U30" s="27"/>
      <c r="V30" s="27"/>
      <c r="W30" s="27"/>
      <c r="X30" s="27" t="s">
        <v>30</v>
      </c>
    </row>
  </sheetData>
  <mergeCells count="3">
    <mergeCell ref="E4:X4"/>
    <mergeCell ref="E13:X13"/>
    <mergeCell ref="E22:X22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N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19" width="11" style="73" customWidth="1"/>
    <col min="20" max="21" width="11" style="73" hidden="1" customWidth="1" outlineLevel="1"/>
    <col min="22" max="22" width="11" style="73" customWidth="1" collapsed="1"/>
    <col min="23" max="24" width="11" style="73" customWidth="1"/>
    <col min="25" max="25" width="3" style="13" customWidth="1"/>
    <col min="26" max="16384" width="10.85546875" style="73"/>
  </cols>
  <sheetData>
    <row r="1" spans="2:40" ht="16.5" customHeight="1" x14ac:dyDescent="0.2"/>
    <row r="2" spans="2:40" ht="18.75" customHeight="1" thickBot="1" x14ac:dyDescent="0.25">
      <c r="B2" s="11" t="s">
        <v>27</v>
      </c>
      <c r="D2" s="14" t="s">
        <v>145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34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5" t="s">
        <v>6</v>
      </c>
      <c r="F4" s="45" t="s">
        <v>115</v>
      </c>
      <c r="G4" s="45" t="s">
        <v>3</v>
      </c>
      <c r="H4" s="45" t="s">
        <v>116</v>
      </c>
      <c r="I4" s="45" t="s">
        <v>117</v>
      </c>
      <c r="J4" s="45" t="s">
        <v>4</v>
      </c>
      <c r="K4" s="45" t="s">
        <v>118</v>
      </c>
      <c r="L4" s="45" t="s">
        <v>119</v>
      </c>
      <c r="M4" s="45" t="s">
        <v>120</v>
      </c>
      <c r="N4" s="45" t="s">
        <v>14</v>
      </c>
      <c r="O4" s="45" t="s">
        <v>121</v>
      </c>
      <c r="P4" s="45" t="s">
        <v>122</v>
      </c>
      <c r="Q4" s="45" t="s">
        <v>123</v>
      </c>
      <c r="R4" s="45" t="s">
        <v>16</v>
      </c>
      <c r="S4" s="45" t="s">
        <v>17</v>
      </c>
      <c r="T4" s="45" t="s">
        <v>88</v>
      </c>
      <c r="U4" s="45" t="s">
        <v>92</v>
      </c>
      <c r="V4" s="45" t="s">
        <v>95</v>
      </c>
      <c r="W4" s="74" t="s">
        <v>193</v>
      </c>
      <c r="X4" s="75" t="s">
        <v>0</v>
      </c>
      <c r="Y4" s="13"/>
      <c r="Z4" s="45" t="s">
        <v>124</v>
      </c>
      <c r="AA4" s="45" t="s">
        <v>125</v>
      </c>
      <c r="AB4" s="45" t="s">
        <v>126</v>
      </c>
      <c r="AC4" s="45" t="s">
        <v>127</v>
      </c>
      <c r="AD4" s="45" t="s">
        <v>128</v>
      </c>
      <c r="AE4" s="45" t="s">
        <v>129</v>
      </c>
      <c r="AF4" s="45" t="s">
        <v>130</v>
      </c>
      <c r="AG4" s="45" t="s">
        <v>131</v>
      </c>
      <c r="AH4" s="45" t="s">
        <v>132</v>
      </c>
      <c r="AI4" s="45" t="s">
        <v>133</v>
      </c>
      <c r="AJ4" s="45" t="s">
        <v>41</v>
      </c>
      <c r="AK4" s="45" t="s">
        <v>89</v>
      </c>
      <c r="AL4" s="45" t="s">
        <v>93</v>
      </c>
      <c r="AM4" s="45" t="s">
        <v>94</v>
      </c>
      <c r="AN4" s="74" t="s">
        <v>194</v>
      </c>
    </row>
    <row r="5" spans="2:40" s="10" customFormat="1" x14ac:dyDescent="0.25">
      <c r="D5" s="31" t="s">
        <v>96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7">
        <v>195771</v>
      </c>
      <c r="X5" s="78">
        <f>+W5/S5-1</f>
        <v>2.2153418821268867E-2</v>
      </c>
      <c r="Y5" s="13"/>
      <c r="Z5" s="76">
        <f>I5-H5</f>
        <v>189687.1649899999</v>
      </c>
      <c r="AA5" s="76">
        <f>J5-I5</f>
        <v>187478.61596000008</v>
      </c>
      <c r="AB5" s="76">
        <f t="shared" ref="AB5:AB8" si="0">K5</f>
        <v>178953</v>
      </c>
      <c r="AC5" s="76">
        <f t="shared" ref="AC5:AE9" si="1">L5-K5</f>
        <v>194748</v>
      </c>
      <c r="AD5" s="76">
        <f t="shared" si="1"/>
        <v>189599.91514000006</v>
      </c>
      <c r="AE5" s="76">
        <f t="shared" si="1"/>
        <v>184799.08485999994</v>
      </c>
      <c r="AF5" s="76">
        <f t="shared" ref="AF5:AF8" si="2">O5</f>
        <v>181928</v>
      </c>
      <c r="AG5" s="76">
        <f>P5-O5</f>
        <v>201278</v>
      </c>
      <c r="AH5" s="76">
        <f>Q5-P5</f>
        <v>196213</v>
      </c>
      <c r="AI5" s="76">
        <f>R5-Q5</f>
        <v>193368</v>
      </c>
      <c r="AJ5" s="76">
        <f>S5</f>
        <v>191528</v>
      </c>
      <c r="AK5" s="76">
        <f t="shared" ref="AK5:AM9" si="3">T5-S5</f>
        <v>204580</v>
      </c>
      <c r="AL5" s="76">
        <f t="shared" si="3"/>
        <v>199132</v>
      </c>
      <c r="AM5" s="76">
        <f t="shared" si="3"/>
        <v>197444</v>
      </c>
      <c r="AN5" s="77">
        <f>W5</f>
        <v>195771</v>
      </c>
    </row>
    <row r="6" spans="2:40" s="10" customFormat="1" x14ac:dyDescent="0.25">
      <c r="D6" s="31" t="s">
        <v>134</v>
      </c>
      <c r="E6" s="76">
        <v>718521</v>
      </c>
      <c r="F6" s="95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7">
        <v>195848</v>
      </c>
      <c r="X6" s="78">
        <f t="shared" ref="X6:X9" si="4">+W6/S6-1</f>
        <v>3.0735547976927347E-2</v>
      </c>
      <c r="Y6" s="13"/>
      <c r="Z6" s="76">
        <f>I6-H6</f>
        <v>188434.77768000006</v>
      </c>
      <c r="AA6" s="76">
        <f t="shared" ref="AA6:AA9" si="5">J6-I6</f>
        <v>190015.22231999994</v>
      </c>
      <c r="AB6" s="76">
        <f t="shared" si="0"/>
        <v>184280</v>
      </c>
      <c r="AC6" s="76">
        <f t="shared" si="1"/>
        <v>186526</v>
      </c>
      <c r="AD6" s="76">
        <f t="shared" si="1"/>
        <v>188544.34435000038</v>
      </c>
      <c r="AE6" s="76">
        <f t="shared" si="1"/>
        <v>187941.65564999962</v>
      </c>
      <c r="AF6" s="76">
        <f t="shared" si="2"/>
        <v>183489</v>
      </c>
      <c r="AG6" s="76">
        <f t="shared" ref="AG6:AH9" si="6">P6-O6</f>
        <v>186882</v>
      </c>
      <c r="AH6" s="76">
        <f t="shared" si="6"/>
        <v>190707</v>
      </c>
      <c r="AI6" s="76">
        <f t="shared" ref="AI6:AI9" si="7">R6-Q6</f>
        <v>192200</v>
      </c>
      <c r="AJ6" s="76">
        <f t="shared" ref="AJ6:AJ9" si="8">S6</f>
        <v>190008</v>
      </c>
      <c r="AK6" s="76">
        <f t="shared" si="3"/>
        <v>193693</v>
      </c>
      <c r="AL6" s="76">
        <f t="shared" si="3"/>
        <v>196587</v>
      </c>
      <c r="AM6" s="76">
        <f t="shared" si="3"/>
        <v>197494</v>
      </c>
      <c r="AN6" s="77">
        <f t="shared" ref="AN6:AN9" si="9">W6</f>
        <v>195848</v>
      </c>
    </row>
    <row r="7" spans="2:40" s="10" customFormat="1" x14ac:dyDescent="0.25">
      <c r="D7" s="46" t="s">
        <v>37</v>
      </c>
      <c r="E7" s="55">
        <v>-476725</v>
      </c>
      <c r="F7" s="55">
        <v>-389426.50000539894</v>
      </c>
      <c r="G7" s="55">
        <v>-519666.00000000006</v>
      </c>
      <c r="H7" s="55">
        <v>-245650</v>
      </c>
      <c r="I7" s="55">
        <v>-349852.0986038135</v>
      </c>
      <c r="J7" s="55">
        <v>-465382</v>
      </c>
      <c r="K7" s="55">
        <v>-120874</v>
      </c>
      <c r="L7" s="55">
        <v>-244740</v>
      </c>
      <c r="M7" s="55">
        <v>-374662.88629253145</v>
      </c>
      <c r="N7" s="55">
        <v>-518866</v>
      </c>
      <c r="O7" s="55">
        <v>-128817</v>
      </c>
      <c r="P7" s="55">
        <v>-266484</v>
      </c>
      <c r="Q7" s="55">
        <v>-418306</v>
      </c>
      <c r="R7" s="55">
        <v>-585329</v>
      </c>
      <c r="S7" s="55">
        <v>-168784</v>
      </c>
      <c r="T7" s="55">
        <v>-356828</v>
      </c>
      <c r="U7" s="55">
        <v>-527284</v>
      </c>
      <c r="V7" s="55">
        <v>-689087</v>
      </c>
      <c r="W7" s="56">
        <v>-157374</v>
      </c>
      <c r="X7" s="81">
        <f t="shared" si="4"/>
        <v>-6.7601194426011979E-2</v>
      </c>
      <c r="Y7" s="13"/>
      <c r="Z7" s="55">
        <f>I7-H7</f>
        <v>-104202.0986038135</v>
      </c>
      <c r="AA7" s="55">
        <f t="shared" si="5"/>
        <v>-115529.9013961865</v>
      </c>
      <c r="AB7" s="55">
        <f t="shared" si="0"/>
        <v>-120874</v>
      </c>
      <c r="AC7" s="55">
        <f t="shared" si="1"/>
        <v>-123866</v>
      </c>
      <c r="AD7" s="55">
        <f t="shared" si="1"/>
        <v>-129922.88629253145</v>
      </c>
      <c r="AE7" s="55">
        <f t="shared" si="1"/>
        <v>-144203.11370746855</v>
      </c>
      <c r="AF7" s="55">
        <f t="shared" si="2"/>
        <v>-128817</v>
      </c>
      <c r="AG7" s="55">
        <f t="shared" si="6"/>
        <v>-137667</v>
      </c>
      <c r="AH7" s="55">
        <f t="shared" si="6"/>
        <v>-151822</v>
      </c>
      <c r="AI7" s="55">
        <f t="shared" si="7"/>
        <v>-167023</v>
      </c>
      <c r="AJ7" s="55">
        <f t="shared" si="8"/>
        <v>-168784</v>
      </c>
      <c r="AK7" s="55">
        <f t="shared" si="3"/>
        <v>-188044</v>
      </c>
      <c r="AL7" s="55">
        <f t="shared" si="3"/>
        <v>-170456</v>
      </c>
      <c r="AM7" s="55">
        <f t="shared" si="3"/>
        <v>-161803</v>
      </c>
      <c r="AN7" s="56">
        <f t="shared" si="9"/>
        <v>-157374</v>
      </c>
    </row>
    <row r="8" spans="2:40" s="10" customFormat="1" x14ac:dyDescent="0.25">
      <c r="D8" s="46" t="s">
        <v>38</v>
      </c>
      <c r="E8" s="55">
        <v>-154001</v>
      </c>
      <c r="F8" s="55">
        <v>-115432.9615953328</v>
      </c>
      <c r="G8" s="55">
        <v>-152748</v>
      </c>
      <c r="H8" s="55">
        <v>-79437</v>
      </c>
      <c r="I8" s="55">
        <v>-118909.1742417893</v>
      </c>
      <c r="J8" s="55">
        <v>-159468</v>
      </c>
      <c r="K8" s="55">
        <v>-36685</v>
      </c>
      <c r="L8" s="55">
        <v>-75358</v>
      </c>
      <c r="M8" s="55">
        <v>-114751.67075482252</v>
      </c>
      <c r="N8" s="55">
        <v>-154310</v>
      </c>
      <c r="O8" s="55">
        <v>-35791</v>
      </c>
      <c r="P8" s="55">
        <v>-71468</v>
      </c>
      <c r="Q8" s="55">
        <v>-110044</v>
      </c>
      <c r="R8" s="55">
        <v>-150800</v>
      </c>
      <c r="S8" s="55">
        <v>-38667</v>
      </c>
      <c r="T8" s="55">
        <v>-73729</v>
      </c>
      <c r="U8" s="55">
        <v>-112198</v>
      </c>
      <c r="V8" s="55">
        <v>-153853</v>
      </c>
      <c r="W8" s="56">
        <v>-39247</v>
      </c>
      <c r="X8" s="81">
        <f t="shared" si="4"/>
        <v>1.4999870690769912E-2</v>
      </c>
      <c r="Y8" s="13"/>
      <c r="Z8" s="55">
        <f>I8-H8</f>
        <v>-39472.174241789297</v>
      </c>
      <c r="AA8" s="55">
        <f t="shared" si="5"/>
        <v>-40558.825758210703</v>
      </c>
      <c r="AB8" s="55">
        <f t="shared" si="0"/>
        <v>-36685</v>
      </c>
      <c r="AC8" s="55">
        <f t="shared" si="1"/>
        <v>-38673</v>
      </c>
      <c r="AD8" s="55">
        <f t="shared" si="1"/>
        <v>-39393.670754822524</v>
      </c>
      <c r="AE8" s="55">
        <f t="shared" si="1"/>
        <v>-39558.329245177476</v>
      </c>
      <c r="AF8" s="55">
        <f t="shared" si="2"/>
        <v>-35791</v>
      </c>
      <c r="AG8" s="55">
        <f t="shared" si="6"/>
        <v>-35677</v>
      </c>
      <c r="AH8" s="55">
        <f t="shared" si="6"/>
        <v>-38576</v>
      </c>
      <c r="AI8" s="55">
        <f t="shared" si="7"/>
        <v>-40756</v>
      </c>
      <c r="AJ8" s="55">
        <f t="shared" si="8"/>
        <v>-38667</v>
      </c>
      <c r="AK8" s="55">
        <f t="shared" si="3"/>
        <v>-35062</v>
      </c>
      <c r="AL8" s="55">
        <f t="shared" si="3"/>
        <v>-38469</v>
      </c>
      <c r="AM8" s="55">
        <f t="shared" si="3"/>
        <v>-41655</v>
      </c>
      <c r="AN8" s="56">
        <f t="shared" si="9"/>
        <v>-39247</v>
      </c>
    </row>
    <row r="9" spans="2:40" s="10" customFormat="1" ht="15" thickBot="1" x14ac:dyDescent="0.3">
      <c r="D9" s="46" t="s">
        <v>135</v>
      </c>
      <c r="E9" s="55">
        <v>27179</v>
      </c>
      <c r="F9" s="55">
        <v>23881.10989</v>
      </c>
      <c r="G9" s="55">
        <v>30638</v>
      </c>
      <c r="H9" s="55">
        <v>9281</v>
      </c>
      <c r="I9" s="55">
        <v>14965.983510000002</v>
      </c>
      <c r="J9" s="55">
        <v>18726</v>
      </c>
      <c r="K9" s="55">
        <v>4390</v>
      </c>
      <c r="L9" s="55">
        <v>9882</v>
      </c>
      <c r="M9" s="55">
        <v>15696.075209999997</v>
      </c>
      <c r="N9" s="55">
        <v>22877</v>
      </c>
      <c r="O9" s="55">
        <v>2550</v>
      </c>
      <c r="P9" s="55">
        <v>7286</v>
      </c>
      <c r="Q9" s="55">
        <v>12636</v>
      </c>
      <c r="R9" s="55">
        <v>17506</v>
      </c>
      <c r="S9" s="55">
        <v>2391</v>
      </c>
      <c r="T9" s="55">
        <v>9173</v>
      </c>
      <c r="U9" s="55">
        <v>15875</v>
      </c>
      <c r="V9" s="55">
        <v>22098</v>
      </c>
      <c r="W9" s="56">
        <v>5275</v>
      </c>
      <c r="X9" s="81">
        <f t="shared" si="4"/>
        <v>1.2061898787118359</v>
      </c>
      <c r="Y9" s="13"/>
      <c r="Z9" s="55">
        <f>I9-H9</f>
        <v>5684.9835100000018</v>
      </c>
      <c r="AA9" s="55">
        <f t="shared" si="5"/>
        <v>3760.0164899999982</v>
      </c>
      <c r="AB9" s="55">
        <f>K9</f>
        <v>4390</v>
      </c>
      <c r="AC9" s="55">
        <f t="shared" si="1"/>
        <v>5492</v>
      </c>
      <c r="AD9" s="55">
        <f t="shared" si="1"/>
        <v>5814.0752099999972</v>
      </c>
      <c r="AE9" s="55">
        <f t="shared" si="1"/>
        <v>7180.9247900000028</v>
      </c>
      <c r="AF9" s="55">
        <f>O9</f>
        <v>2550</v>
      </c>
      <c r="AG9" s="55">
        <f t="shared" si="6"/>
        <v>4736</v>
      </c>
      <c r="AH9" s="55">
        <f t="shared" si="6"/>
        <v>5350</v>
      </c>
      <c r="AI9" s="55">
        <f t="shared" si="7"/>
        <v>4870</v>
      </c>
      <c r="AJ9" s="55">
        <f t="shared" si="8"/>
        <v>2391</v>
      </c>
      <c r="AK9" s="55">
        <f t="shared" si="3"/>
        <v>6782</v>
      </c>
      <c r="AL9" s="55">
        <f t="shared" si="3"/>
        <v>6702</v>
      </c>
      <c r="AM9" s="55">
        <f t="shared" si="3"/>
        <v>6223</v>
      </c>
      <c r="AN9" s="56">
        <f t="shared" si="9"/>
        <v>5275</v>
      </c>
    </row>
    <row r="10" spans="2:40" s="10" customFormat="1" ht="15" thickBot="1" x14ac:dyDescent="0.3">
      <c r="D10" s="40" t="s">
        <v>35</v>
      </c>
      <c r="E10" s="58">
        <f>SUM(E6:E9)</f>
        <v>114974</v>
      </c>
      <c r="F10" s="58">
        <f>SUM(F6:F9)</f>
        <v>77269.079859267804</v>
      </c>
      <c r="G10" s="58">
        <f>SUM(G6:G9)</f>
        <v>106532.99999999994</v>
      </c>
      <c r="H10" s="58">
        <f>SUM(H6:H9)</f>
        <v>58349</v>
      </c>
      <c r="I10" s="58">
        <f>SUM(I6:I9)</f>
        <v>108794.48834439726</v>
      </c>
      <c r="J10" s="58">
        <f t="shared" ref="J10:W10" si="10">SUM(J6:J9)</f>
        <v>146481</v>
      </c>
      <c r="K10" s="58">
        <f t="shared" si="10"/>
        <v>31111</v>
      </c>
      <c r="L10" s="58">
        <f t="shared" si="10"/>
        <v>60590</v>
      </c>
      <c r="M10" s="58">
        <f t="shared" si="10"/>
        <v>85631.862512646403</v>
      </c>
      <c r="N10" s="58">
        <f t="shared" si="10"/>
        <v>96993</v>
      </c>
      <c r="O10" s="58">
        <f t="shared" si="10"/>
        <v>21431</v>
      </c>
      <c r="P10" s="58">
        <f t="shared" si="10"/>
        <v>39705</v>
      </c>
      <c r="Q10" s="58">
        <f t="shared" si="10"/>
        <v>45364</v>
      </c>
      <c r="R10" s="58">
        <f t="shared" si="10"/>
        <v>34655</v>
      </c>
      <c r="S10" s="58">
        <f t="shared" si="10"/>
        <v>-15052</v>
      </c>
      <c r="T10" s="58">
        <f t="shared" si="10"/>
        <v>-37683</v>
      </c>
      <c r="U10" s="58">
        <f t="shared" si="10"/>
        <v>-43319</v>
      </c>
      <c r="V10" s="58">
        <f t="shared" si="10"/>
        <v>-43060</v>
      </c>
      <c r="W10" s="59">
        <f t="shared" si="10"/>
        <v>4502</v>
      </c>
      <c r="X10" s="86" t="s">
        <v>195</v>
      </c>
      <c r="Y10" s="13"/>
      <c r="Z10" s="58">
        <f t="shared" ref="Z10:AG10" si="11">SUM(Z6:Z9)</f>
        <v>50445.488344397265</v>
      </c>
      <c r="AA10" s="58">
        <f t="shared" si="11"/>
        <v>37686.511655602735</v>
      </c>
      <c r="AB10" s="58">
        <f t="shared" si="11"/>
        <v>31111</v>
      </c>
      <c r="AC10" s="58">
        <f>SUM(AC6:AC9)</f>
        <v>29479</v>
      </c>
      <c r="AD10" s="58">
        <f>SUM(AD6:AD9)</f>
        <v>25041.862512646403</v>
      </c>
      <c r="AE10" s="58">
        <f t="shared" si="11"/>
        <v>11361.137487353595</v>
      </c>
      <c r="AF10" s="58">
        <f t="shared" si="11"/>
        <v>21431</v>
      </c>
      <c r="AG10" s="58">
        <f t="shared" si="11"/>
        <v>18274</v>
      </c>
      <c r="AH10" s="58">
        <f t="shared" ref="AH10:AM10" si="12">SUM(AH6:AH9)</f>
        <v>5659</v>
      </c>
      <c r="AI10" s="58">
        <f t="shared" si="12"/>
        <v>-10709</v>
      </c>
      <c r="AJ10" s="58">
        <f t="shared" si="12"/>
        <v>-15052</v>
      </c>
      <c r="AK10" s="58">
        <f t="shared" si="12"/>
        <v>-22631</v>
      </c>
      <c r="AL10" s="58">
        <f t="shared" si="12"/>
        <v>-5636</v>
      </c>
      <c r="AM10" s="58">
        <f t="shared" si="12"/>
        <v>259</v>
      </c>
      <c r="AN10" s="59">
        <f t="shared" ref="AN10" si="13">SUM(AN6:AN9)</f>
        <v>4502</v>
      </c>
    </row>
    <row r="11" spans="2:40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7"/>
      <c r="X11" s="47"/>
      <c r="Y11" s="13"/>
    </row>
    <row r="12" spans="2:40" s="10" customFormat="1" x14ac:dyDescent="0.25">
      <c r="D12" s="52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27"/>
      <c r="X12" s="27" t="s">
        <v>29</v>
      </c>
      <c r="Y12" s="13"/>
      <c r="AL12" s="27"/>
      <c r="AM12" s="27"/>
      <c r="AN12" s="27" t="s">
        <v>29</v>
      </c>
    </row>
    <row r="13" spans="2:40" s="10" customFormat="1" x14ac:dyDescent="0.25">
      <c r="D13" s="52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13"/>
    </row>
    <row r="14" spans="2:40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7"/>
      <c r="X14" s="47"/>
      <c r="Y14" s="13"/>
    </row>
    <row r="15" spans="2:40" s="10" customFormat="1" ht="15" thickBot="1" x14ac:dyDescent="0.3">
      <c r="D15" s="23"/>
      <c r="E15" s="45" t="s">
        <v>6</v>
      </c>
      <c r="F15" s="45" t="s">
        <v>115</v>
      </c>
      <c r="G15" s="45" t="s">
        <v>3</v>
      </c>
      <c r="H15" s="45" t="s">
        <v>116</v>
      </c>
      <c r="I15" s="45" t="s">
        <v>117</v>
      </c>
      <c r="J15" s="45" t="s">
        <v>4</v>
      </c>
      <c r="K15" s="45" t="s">
        <v>118</v>
      </c>
      <c r="L15" s="45" t="s">
        <v>119</v>
      </c>
      <c r="M15" s="45" t="s">
        <v>120</v>
      </c>
      <c r="N15" s="45" t="s">
        <v>14</v>
      </c>
      <c r="O15" s="45" t="s">
        <v>121</v>
      </c>
      <c r="P15" s="45" t="s">
        <v>122</v>
      </c>
      <c r="Q15" s="45" t="s">
        <v>123</v>
      </c>
      <c r="R15" s="45" t="s">
        <v>16</v>
      </c>
      <c r="S15" s="45" t="s">
        <v>17</v>
      </c>
      <c r="T15" s="45" t="s">
        <v>88</v>
      </c>
      <c r="U15" s="45" t="s">
        <v>92</v>
      </c>
      <c r="V15" s="45" t="s">
        <v>95</v>
      </c>
      <c r="W15" s="74" t="s">
        <v>193</v>
      </c>
      <c r="X15" s="88" t="s">
        <v>2</v>
      </c>
      <c r="Y15" s="13"/>
      <c r="Z15" s="45" t="s">
        <v>124</v>
      </c>
      <c r="AA15" s="45" t="s">
        <v>125</v>
      </c>
      <c r="AB15" s="45" t="s">
        <v>126</v>
      </c>
      <c r="AC15" s="45" t="s">
        <v>127</v>
      </c>
      <c r="AD15" s="45" t="s">
        <v>128</v>
      </c>
      <c r="AE15" s="45" t="s">
        <v>129</v>
      </c>
      <c r="AF15" s="45" t="s">
        <v>130</v>
      </c>
      <c r="AG15" s="45" t="s">
        <v>131</v>
      </c>
      <c r="AH15" s="45" t="s">
        <v>132</v>
      </c>
      <c r="AI15" s="45" t="s">
        <v>133</v>
      </c>
      <c r="AJ15" s="45" t="s">
        <v>41</v>
      </c>
      <c r="AK15" s="45" t="s">
        <v>89</v>
      </c>
      <c r="AL15" s="45" t="s">
        <v>93</v>
      </c>
      <c r="AM15" s="45" t="s">
        <v>94</v>
      </c>
      <c r="AN15" s="74" t="s">
        <v>194</v>
      </c>
    </row>
    <row r="16" spans="2:40" s="10" customFormat="1" x14ac:dyDescent="0.25">
      <c r="D16" s="46" t="s">
        <v>39</v>
      </c>
      <c r="E16" s="47">
        <f>-E7/E6</f>
        <v>0.66348095601937873</v>
      </c>
      <c r="F16" s="47">
        <f t="shared" ref="F16" si="14">-F7/F6</f>
        <v>0.69758762509696937</v>
      </c>
      <c r="G16" s="47">
        <f>-G7/G6</f>
        <v>0.69445376174815487</v>
      </c>
      <c r="H16" s="47">
        <f>-H7/H6</f>
        <v>0.65654608384225788</v>
      </c>
      <c r="I16" s="47">
        <f>-I7/I6</f>
        <v>0.62186003458244254</v>
      </c>
      <c r="J16" s="47">
        <f t="shared" ref="J16:K16" si="15">-J7/J6</f>
        <v>0.61836155752353494</v>
      </c>
      <c r="K16" s="47">
        <f t="shared" si="15"/>
        <v>0.65592576514000434</v>
      </c>
      <c r="L16" s="47">
        <f>-L7/L6</f>
        <v>0.66002168249704696</v>
      </c>
      <c r="M16" s="47">
        <f>-M7/M6</f>
        <v>0.66981792373420779</v>
      </c>
      <c r="N16" s="47">
        <f>-N7/N6</f>
        <v>0.6943283214593492</v>
      </c>
      <c r="O16" s="47">
        <f>-O7/O6</f>
        <v>0.70204208426663184</v>
      </c>
      <c r="P16" s="47">
        <f t="shared" ref="P16" si="16">-P7/P6</f>
        <v>0.71950557684051941</v>
      </c>
      <c r="Q16" s="47">
        <f t="shared" ref="Q16:V16" si="17">-Q7/Q6</f>
        <v>0.7455398358160541</v>
      </c>
      <c r="R16" s="47">
        <f t="shared" si="17"/>
        <v>0.77704247303120499</v>
      </c>
      <c r="S16" s="47">
        <f t="shared" si="17"/>
        <v>0.88829944002357797</v>
      </c>
      <c r="T16" s="47">
        <f t="shared" si="17"/>
        <v>0.92996369569013371</v>
      </c>
      <c r="U16" s="47">
        <f t="shared" si="17"/>
        <v>0.90865914856071472</v>
      </c>
      <c r="V16" s="47">
        <f t="shared" si="17"/>
        <v>0.88596419048010877</v>
      </c>
      <c r="W16" s="48">
        <f t="shared" ref="W16" si="18">-W7/W6</f>
        <v>0.80355173399779423</v>
      </c>
      <c r="X16" s="69">
        <f>(W16-S16)*100</f>
        <v>-8.4747706025783742</v>
      </c>
      <c r="Y16" s="13"/>
      <c r="Z16" s="47">
        <f t="shared" ref="Z16:AC16" si="19">-Z7/Z6</f>
        <v>0.55298761665306551</v>
      </c>
      <c r="AA16" s="47">
        <f t="shared" si="19"/>
        <v>0.60800340091503535</v>
      </c>
      <c r="AB16" s="47">
        <f t="shared" si="19"/>
        <v>0.65592576514000434</v>
      </c>
      <c r="AC16" s="47">
        <f t="shared" si="19"/>
        <v>0.66406828002530482</v>
      </c>
      <c r="AD16" s="47">
        <f>-AD7/AD6</f>
        <v>0.68908397512763253</v>
      </c>
      <c r="AE16" s="47">
        <f t="shared" ref="AE16:AH16" si="20">-AE7/AE6</f>
        <v>0.7672759570449641</v>
      </c>
      <c r="AF16" s="47">
        <f t="shared" si="20"/>
        <v>0.70204208426663184</v>
      </c>
      <c r="AG16" s="47">
        <f t="shared" si="20"/>
        <v>0.73665200500850803</v>
      </c>
      <c r="AH16" s="47">
        <f t="shared" si="20"/>
        <v>0.79610082482551769</v>
      </c>
      <c r="AI16" s="47">
        <f t="shared" ref="AI16:AN16" si="21">-AI7/AI6</f>
        <v>0.86900624349635791</v>
      </c>
      <c r="AJ16" s="47">
        <f t="shared" si="21"/>
        <v>0.88829944002357797</v>
      </c>
      <c r="AK16" s="47">
        <f t="shared" si="21"/>
        <v>0.97083529089848364</v>
      </c>
      <c r="AL16" s="47">
        <f t="shared" si="21"/>
        <v>0.86707666325850641</v>
      </c>
      <c r="AM16" s="47">
        <f t="shared" si="21"/>
        <v>0.81928058573931362</v>
      </c>
      <c r="AN16" s="48">
        <f t="shared" si="21"/>
        <v>0.80355173399779423</v>
      </c>
    </row>
    <row r="17" spans="4:40" s="10" customFormat="1" ht="15" thickBot="1" x14ac:dyDescent="0.3">
      <c r="D17" s="46" t="s">
        <v>40</v>
      </c>
      <c r="E17" s="47">
        <f>-(E8+E9)/E6</f>
        <v>0.17650423578434032</v>
      </c>
      <c r="F17" s="47">
        <f t="shared" ref="F17" si="22">-(F8+F9)/F6</f>
        <v>0.16399869758084679</v>
      </c>
      <c r="G17" s="47">
        <f>-(G8+G9)/G6</f>
        <v>0.16318125266434053</v>
      </c>
      <c r="H17" s="47">
        <f>-(H8+H9)/H6</f>
        <v>0.18750517833518193</v>
      </c>
      <c r="I17" s="47">
        <f>-(I8+I9)/I6</f>
        <v>0.18475840631237345</v>
      </c>
      <c r="J17" s="47">
        <f t="shared" ref="J17:K17" si="23">-(J8+J9)/J6</f>
        <v>0.18700646421429568</v>
      </c>
      <c r="K17" s="47">
        <f t="shared" si="23"/>
        <v>0.17524962014326026</v>
      </c>
      <c r="L17" s="47">
        <f>-(L8+L9)/L6</f>
        <v>0.17657750953328694</v>
      </c>
      <c r="M17" s="47">
        <f>-(M8+M9)/M6</f>
        <v>0.17709043454676199</v>
      </c>
      <c r="N17" s="47">
        <f>-(N8+N9)/N6</f>
        <v>0.17587904058922083</v>
      </c>
      <c r="O17" s="47">
        <f>-(O8+O9)/O6</f>
        <v>0.18116072353111085</v>
      </c>
      <c r="P17" s="47">
        <f t="shared" ref="P17" si="24">-(P8+P9)/P6</f>
        <v>0.1732911054051208</v>
      </c>
      <c r="Q17" s="47">
        <f t="shared" ref="Q17:V17" si="25">-(Q8+Q9)/Q6</f>
        <v>0.1736086604714496</v>
      </c>
      <c r="R17" s="47">
        <f t="shared" si="25"/>
        <v>0.17695193540764498</v>
      </c>
      <c r="S17" s="47">
        <f t="shared" si="25"/>
        <v>0.19091827712517367</v>
      </c>
      <c r="T17" s="47">
        <f t="shared" si="25"/>
        <v>0.16824558705867329</v>
      </c>
      <c r="U17" s="47">
        <f t="shared" si="25"/>
        <v>0.16599171445902725</v>
      </c>
      <c r="V17" s="47">
        <f t="shared" si="25"/>
        <v>0.16939836612315534</v>
      </c>
      <c r="W17" s="48">
        <f t="shared" ref="W17" si="26">-(W8+W9)/W6</f>
        <v>0.17346105142763776</v>
      </c>
      <c r="X17" s="69">
        <f t="shared" ref="X17:X18" si="27">(W17-S17)*100</f>
        <v>-1.7457225697535912</v>
      </c>
      <c r="Y17" s="13"/>
      <c r="Z17" s="47">
        <f t="shared" ref="Z17:AC17" si="28">-(Z8+Z9)/Z6</f>
        <v>0.1793044317390641</v>
      </c>
      <c r="AA17" s="47">
        <f t="shared" si="28"/>
        <v>0.19366242777243786</v>
      </c>
      <c r="AB17" s="47">
        <f t="shared" si="28"/>
        <v>0.17524962014326026</v>
      </c>
      <c r="AC17" s="47">
        <f t="shared" si="28"/>
        <v>0.17788940951931634</v>
      </c>
      <c r="AD17" s="47">
        <f>-(AD8+AD9)/AD6</f>
        <v>0.17809919284817022</v>
      </c>
      <c r="AE17" s="47">
        <f t="shared" ref="AE17:AH17" si="29">-(AE8+AE9)/AE6</f>
        <v>0.1722737002778848</v>
      </c>
      <c r="AF17" s="47">
        <f t="shared" si="29"/>
        <v>0.18116072353111085</v>
      </c>
      <c r="AG17" s="47">
        <f t="shared" si="29"/>
        <v>0.16556436681970441</v>
      </c>
      <c r="AH17" s="47">
        <f t="shared" si="29"/>
        <v>0.17422538239288543</v>
      </c>
      <c r="AI17" s="47">
        <f t="shared" ref="AI17:AN17" si="30">-(AI8+AI9)/AI6</f>
        <v>0.18671175858480749</v>
      </c>
      <c r="AJ17" s="47">
        <f t="shared" si="30"/>
        <v>0.19091827712517367</v>
      </c>
      <c r="AK17" s="47">
        <f t="shared" si="30"/>
        <v>0.14600424382915231</v>
      </c>
      <c r="AL17" s="47">
        <f t="shared" si="30"/>
        <v>0.16159257733217355</v>
      </c>
      <c r="AM17" s="47">
        <f t="shared" si="30"/>
        <v>0.17940798201464347</v>
      </c>
      <c r="AN17" s="48">
        <f t="shared" si="30"/>
        <v>0.17346105142763776</v>
      </c>
    </row>
    <row r="18" spans="4:40" s="10" customFormat="1" ht="15" thickBot="1" x14ac:dyDescent="0.3">
      <c r="D18" s="40" t="s">
        <v>36</v>
      </c>
      <c r="E18" s="49">
        <f>-(E7+E8+E9)/E6</f>
        <v>0.839985191803719</v>
      </c>
      <c r="F18" s="49">
        <f t="shared" ref="F18" si="31">-(F7+F8+F9)/F6</f>
        <v>0.8615863226778161</v>
      </c>
      <c r="G18" s="49">
        <f>-(G7+G8+G9)/G6</f>
        <v>0.85763501441249534</v>
      </c>
      <c r="H18" s="49">
        <f>-(H7+H8+H9)/H6</f>
        <v>0.84405126217743986</v>
      </c>
      <c r="I18" s="49">
        <f>-(I7+I8+I9)/I6</f>
        <v>0.80661844089481605</v>
      </c>
      <c r="J18" s="49">
        <f t="shared" ref="J18:K18" si="32">-(J7+J8+J9)/J6</f>
        <v>0.80536802173783062</v>
      </c>
      <c r="K18" s="49">
        <f t="shared" si="32"/>
        <v>0.83117538528326462</v>
      </c>
      <c r="L18" s="49">
        <f>-(L7+L8+L9)/L6</f>
        <v>0.83659919203033395</v>
      </c>
      <c r="M18" s="49">
        <f>-(M7+M8+M9)/M6</f>
        <v>0.84690835828096978</v>
      </c>
      <c r="N18" s="49">
        <f>-(N7+N8+N9)/N6</f>
        <v>0.87020736204857008</v>
      </c>
      <c r="O18" s="49">
        <f>-(O7+O8+O9)/O6</f>
        <v>0.88320280779774263</v>
      </c>
      <c r="P18" s="49">
        <f t="shared" ref="P18" si="33">-(P7+P8+P9)/P6</f>
        <v>0.89279668224564013</v>
      </c>
      <c r="Q18" s="49">
        <f t="shared" ref="Q18:V18" si="34">-(Q7+Q8+Q9)/Q6</f>
        <v>0.91914849628750372</v>
      </c>
      <c r="R18" s="49">
        <f t="shared" si="34"/>
        <v>0.95399440843884997</v>
      </c>
      <c r="S18" s="49">
        <f t="shared" si="34"/>
        <v>1.0792177171487516</v>
      </c>
      <c r="T18" s="49">
        <f t="shared" si="34"/>
        <v>1.098209282748807</v>
      </c>
      <c r="U18" s="49">
        <f t="shared" si="34"/>
        <v>1.074650863019742</v>
      </c>
      <c r="V18" s="49">
        <f t="shared" si="34"/>
        <v>1.0553625566032641</v>
      </c>
      <c r="W18" s="50">
        <f t="shared" ref="W18" si="35">-(W7+W8+W9)/W6</f>
        <v>0.97701278542543202</v>
      </c>
      <c r="X18" s="89">
        <f t="shared" si="27"/>
        <v>-10.220493172331956</v>
      </c>
      <c r="Y18" s="13"/>
      <c r="Z18" s="49">
        <f t="shared" ref="Z18:AC18" si="36">-(Z7+Z8+Z9)/Z6</f>
        <v>0.73229204839212969</v>
      </c>
      <c r="AA18" s="49">
        <f t="shared" si="36"/>
        <v>0.80166582868747316</v>
      </c>
      <c r="AB18" s="49">
        <f t="shared" si="36"/>
        <v>0.83117538528326462</v>
      </c>
      <c r="AC18" s="49">
        <f t="shared" si="36"/>
        <v>0.84195768954462114</v>
      </c>
      <c r="AD18" s="49">
        <f>-(AD7+AD8+AD9)/AD6</f>
        <v>0.86718316797580264</v>
      </c>
      <c r="AE18" s="49">
        <f t="shared" ref="AE18:AH18" si="37">-(AE7+AE8+AE9)/AE6</f>
        <v>0.93954965732284901</v>
      </c>
      <c r="AF18" s="49">
        <f t="shared" si="37"/>
        <v>0.88320280779774263</v>
      </c>
      <c r="AG18" s="49">
        <f t="shared" si="37"/>
        <v>0.90221637182821246</v>
      </c>
      <c r="AH18" s="49">
        <f t="shared" si="37"/>
        <v>0.97032620721840313</v>
      </c>
      <c r="AI18" s="49">
        <f t="shared" ref="AI18:AN18" si="38">-(AI7+AI8+AI9)/AI6</f>
        <v>1.0557180020811654</v>
      </c>
      <c r="AJ18" s="49">
        <f t="shared" si="38"/>
        <v>1.0792177171487516</v>
      </c>
      <c r="AK18" s="49">
        <f t="shared" si="38"/>
        <v>1.1168395347276361</v>
      </c>
      <c r="AL18" s="49">
        <f t="shared" si="38"/>
        <v>1.0286692405906799</v>
      </c>
      <c r="AM18" s="49">
        <f t="shared" si="38"/>
        <v>0.99868856775395709</v>
      </c>
      <c r="AN18" s="50">
        <f t="shared" si="38"/>
        <v>0.97701278542543202</v>
      </c>
    </row>
    <row r="19" spans="4:40" s="10" customFormat="1" x14ac:dyDescent="0.25">
      <c r="D19" s="3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3"/>
      <c r="X19" s="63"/>
      <c r="Y19" s="43"/>
    </row>
    <row r="20" spans="4:40" s="10" customFormat="1" x14ac:dyDescent="0.25">
      <c r="W20" s="96"/>
      <c r="X20" s="96"/>
      <c r="Y20" s="87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colBreaks count="1" manualBreakCount="1">
    <brk id="33" max="1048575" man="1"/>
  </colBreaks>
  <ignoredErrors>
    <ignoredError sqref="AB5:AJ10" formula="1"/>
    <ignoredError sqref="E10:W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N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19" width="11" style="97" customWidth="1"/>
    <col min="20" max="21" width="11" style="97" hidden="1" customWidth="1" outlineLevel="1"/>
    <col min="22" max="22" width="11" style="97" customWidth="1" collapsed="1"/>
    <col min="23" max="23" width="11" style="97" customWidth="1"/>
    <col min="24" max="24" width="11" style="73" customWidth="1"/>
    <col min="25" max="25" width="3" style="13" customWidth="1"/>
    <col min="26" max="16384" width="10.85546875" style="73"/>
  </cols>
  <sheetData>
    <row r="1" spans="2:40" ht="16.5" customHeight="1" x14ac:dyDescent="0.2"/>
    <row r="2" spans="2:40" ht="18.75" customHeight="1" thickBot="1" x14ac:dyDescent="0.25">
      <c r="B2" s="11" t="s">
        <v>27</v>
      </c>
      <c r="D2" s="14" t="s">
        <v>146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8"/>
      <c r="T2" s="98"/>
      <c r="U2" s="98"/>
      <c r="V2" s="98"/>
      <c r="W2" s="98"/>
      <c r="X2" s="14"/>
      <c r="Z2" s="14" t="s">
        <v>34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5" t="s">
        <v>6</v>
      </c>
      <c r="F4" s="45" t="s">
        <v>115</v>
      </c>
      <c r="G4" s="45" t="s">
        <v>3</v>
      </c>
      <c r="H4" s="45" t="s">
        <v>116</v>
      </c>
      <c r="I4" s="45" t="s">
        <v>117</v>
      </c>
      <c r="J4" s="45" t="s">
        <v>4</v>
      </c>
      <c r="K4" s="45" t="s">
        <v>118</v>
      </c>
      <c r="L4" s="45" t="s">
        <v>119</v>
      </c>
      <c r="M4" s="45" t="s">
        <v>120</v>
      </c>
      <c r="N4" s="45" t="s">
        <v>14</v>
      </c>
      <c r="O4" s="45" t="s">
        <v>121</v>
      </c>
      <c r="P4" s="45" t="s">
        <v>122</v>
      </c>
      <c r="Q4" s="45" t="s">
        <v>123</v>
      </c>
      <c r="R4" s="45" t="s">
        <v>16</v>
      </c>
      <c r="S4" s="45" t="s">
        <v>17</v>
      </c>
      <c r="T4" s="45" t="s">
        <v>88</v>
      </c>
      <c r="U4" s="45" t="s">
        <v>92</v>
      </c>
      <c r="V4" s="45" t="s">
        <v>95</v>
      </c>
      <c r="W4" s="74" t="s">
        <v>193</v>
      </c>
      <c r="X4" s="99" t="s">
        <v>0</v>
      </c>
      <c r="Y4" s="13"/>
      <c r="Z4" s="45" t="s">
        <v>124</v>
      </c>
      <c r="AA4" s="45" t="s">
        <v>125</v>
      </c>
      <c r="AB4" s="45" t="s">
        <v>126</v>
      </c>
      <c r="AC4" s="45" t="s">
        <v>127</v>
      </c>
      <c r="AD4" s="45" t="s">
        <v>128</v>
      </c>
      <c r="AE4" s="45" t="s">
        <v>129</v>
      </c>
      <c r="AF4" s="45" t="s">
        <v>130</v>
      </c>
      <c r="AG4" s="45" t="s">
        <v>131</v>
      </c>
      <c r="AH4" s="45" t="s">
        <v>132</v>
      </c>
      <c r="AI4" s="45" t="s">
        <v>133</v>
      </c>
      <c r="AJ4" s="45" t="s">
        <v>41</v>
      </c>
      <c r="AK4" s="45" t="s">
        <v>89</v>
      </c>
      <c r="AL4" s="45" t="s">
        <v>93</v>
      </c>
      <c r="AM4" s="45" t="s">
        <v>94</v>
      </c>
      <c r="AN4" s="74" t="s">
        <v>194</v>
      </c>
    </row>
    <row r="5" spans="2:40" s="10" customFormat="1" x14ac:dyDescent="0.25">
      <c r="D5" s="31" t="s">
        <v>96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7">
        <v>39270</v>
      </c>
      <c r="X5" s="78">
        <f>+W5/S5-1</f>
        <v>4.4220490866062168E-2</v>
      </c>
      <c r="Y5" s="13"/>
      <c r="Z5" s="76">
        <f>I5-H5</f>
        <v>29837.838810000001</v>
      </c>
      <c r="AA5" s="76">
        <f>J5-I5</f>
        <v>31109.832219999997</v>
      </c>
      <c r="AB5" s="76">
        <f>K5</f>
        <v>31764</v>
      </c>
      <c r="AC5" s="76">
        <f t="shared" ref="AC5:AC9" si="0">L5-K5</f>
        <v>33015</v>
      </c>
      <c r="AD5" s="76">
        <f>M5-L5</f>
        <v>32265.810309999986</v>
      </c>
      <c r="AE5" s="76">
        <f t="shared" ref="AE5:AE9" si="1">N5-M5</f>
        <v>34198.189690000014</v>
      </c>
      <c r="AF5" s="76">
        <f>O5</f>
        <v>35256</v>
      </c>
      <c r="AG5" s="76">
        <f t="shared" ref="AG5:AI7" si="2">P5-O5</f>
        <v>36411</v>
      </c>
      <c r="AH5" s="76">
        <f t="shared" si="2"/>
        <v>35229</v>
      </c>
      <c r="AI5" s="76">
        <f t="shared" si="2"/>
        <v>36817</v>
      </c>
      <c r="AJ5" s="76">
        <f>S5</f>
        <v>37607</v>
      </c>
      <c r="AK5" s="76">
        <f t="shared" ref="AK5:AM9" si="3">T5-S5</f>
        <v>37676</v>
      </c>
      <c r="AL5" s="76">
        <f t="shared" si="3"/>
        <v>36321</v>
      </c>
      <c r="AM5" s="76">
        <f t="shared" si="3"/>
        <v>37826</v>
      </c>
      <c r="AN5" s="77">
        <f>W5</f>
        <v>39270</v>
      </c>
    </row>
    <row r="6" spans="2:40" s="10" customFormat="1" x14ac:dyDescent="0.25">
      <c r="D6" s="31" t="s">
        <v>134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7">
        <v>35990</v>
      </c>
      <c r="X6" s="78">
        <f>+W6/S6-1</f>
        <v>4.5218249934655619E-2</v>
      </c>
      <c r="Y6" s="13"/>
      <c r="Z6" s="76">
        <f>I6-H6</f>
        <v>28281.065399999949</v>
      </c>
      <c r="AA6" s="76">
        <f t="shared" ref="AA6:AA9" si="4">J6-I6</f>
        <v>28980.934600000051</v>
      </c>
      <c r="AB6" s="76">
        <f t="shared" ref="AB6:AB9" si="5">K6</f>
        <v>28726</v>
      </c>
      <c r="AC6" s="76">
        <f t="shared" si="0"/>
        <v>29440</v>
      </c>
      <c r="AD6" s="76">
        <f>M6-L6</f>
        <v>30122.386050000001</v>
      </c>
      <c r="AE6" s="76">
        <f t="shared" si="1"/>
        <v>30778.613949999999</v>
      </c>
      <c r="AF6" s="76">
        <f t="shared" ref="AF6:AF9" si="6">O6</f>
        <v>30892</v>
      </c>
      <c r="AG6" s="76">
        <f t="shared" si="2"/>
        <v>32129</v>
      </c>
      <c r="AH6" s="76">
        <f t="shared" si="2"/>
        <v>33221</v>
      </c>
      <c r="AI6" s="76">
        <f t="shared" si="2"/>
        <v>33557</v>
      </c>
      <c r="AJ6" s="76">
        <f t="shared" ref="AJ6:AJ9" si="7">S6</f>
        <v>34433</v>
      </c>
      <c r="AK6" s="76">
        <f t="shared" si="3"/>
        <v>35408</v>
      </c>
      <c r="AL6" s="76">
        <f t="shared" si="3"/>
        <v>35915</v>
      </c>
      <c r="AM6" s="76">
        <f t="shared" si="3"/>
        <v>36200</v>
      </c>
      <c r="AN6" s="77">
        <f t="shared" ref="AN6:AN9" si="8">W6</f>
        <v>35990</v>
      </c>
    </row>
    <row r="7" spans="2:40" s="10" customFormat="1" x14ac:dyDescent="0.25">
      <c r="D7" s="46" t="s">
        <v>37</v>
      </c>
      <c r="E7" s="55">
        <v>-48215</v>
      </c>
      <c r="F7" s="55">
        <v>-39724.096594049995</v>
      </c>
      <c r="G7" s="55">
        <v>-53137</v>
      </c>
      <c r="H7" s="55">
        <v>-28390</v>
      </c>
      <c r="I7" s="55">
        <v>-45994.703035557985</v>
      </c>
      <c r="J7" s="55">
        <v>-63678</v>
      </c>
      <c r="K7" s="55">
        <v>-18299</v>
      </c>
      <c r="L7" s="55">
        <v>-33435</v>
      </c>
      <c r="M7" s="55">
        <v>-49774.005104250042</v>
      </c>
      <c r="N7" s="55">
        <v>-66003</v>
      </c>
      <c r="O7" s="55">
        <v>-18499</v>
      </c>
      <c r="P7" s="55">
        <v>-36183</v>
      </c>
      <c r="Q7" s="55">
        <v>-58937</v>
      </c>
      <c r="R7" s="55">
        <v>-81840</v>
      </c>
      <c r="S7" s="55">
        <v>-24748</v>
      </c>
      <c r="T7" s="55">
        <v>-46179</v>
      </c>
      <c r="U7" s="55">
        <v>-72041</v>
      </c>
      <c r="V7" s="55">
        <v>-97314</v>
      </c>
      <c r="W7" s="56">
        <v>-25234</v>
      </c>
      <c r="X7" s="81">
        <f>+W7/S7-1</f>
        <v>1.9637950541457894E-2</v>
      </c>
      <c r="Y7" s="13"/>
      <c r="Z7" s="55">
        <f>I7-H7</f>
        <v>-17604.703035557985</v>
      </c>
      <c r="AA7" s="55">
        <f t="shared" si="4"/>
        <v>-17683.296964442015</v>
      </c>
      <c r="AB7" s="55">
        <f t="shared" si="5"/>
        <v>-18299</v>
      </c>
      <c r="AC7" s="55">
        <f t="shared" si="0"/>
        <v>-15136</v>
      </c>
      <c r="AD7" s="55">
        <f>M7-L7</f>
        <v>-16339.005104250042</v>
      </c>
      <c r="AE7" s="55">
        <f t="shared" si="1"/>
        <v>-16228.994895749958</v>
      </c>
      <c r="AF7" s="55">
        <f t="shared" si="6"/>
        <v>-18499</v>
      </c>
      <c r="AG7" s="55">
        <f t="shared" si="2"/>
        <v>-17684</v>
      </c>
      <c r="AH7" s="55">
        <f t="shared" si="2"/>
        <v>-22754</v>
      </c>
      <c r="AI7" s="55">
        <f t="shared" si="2"/>
        <v>-22903</v>
      </c>
      <c r="AJ7" s="55">
        <f t="shared" si="7"/>
        <v>-24748</v>
      </c>
      <c r="AK7" s="55">
        <f t="shared" si="3"/>
        <v>-21431</v>
      </c>
      <c r="AL7" s="55">
        <f t="shared" si="3"/>
        <v>-25862</v>
      </c>
      <c r="AM7" s="55">
        <f t="shared" si="3"/>
        <v>-25273</v>
      </c>
      <c r="AN7" s="56">
        <f t="shared" si="8"/>
        <v>-25234</v>
      </c>
    </row>
    <row r="8" spans="2:40" s="10" customFormat="1" x14ac:dyDescent="0.25">
      <c r="D8" s="46" t="s">
        <v>38</v>
      </c>
      <c r="E8" s="55">
        <v>-35037</v>
      </c>
      <c r="F8" s="55">
        <v>-27774.558025313498</v>
      </c>
      <c r="G8" s="55">
        <v>-37209</v>
      </c>
      <c r="H8" s="55">
        <v>-19678</v>
      </c>
      <c r="I8" s="55">
        <v>-30927.286957193995</v>
      </c>
      <c r="J8" s="55">
        <v>-40873</v>
      </c>
      <c r="K8" s="55">
        <v>-9867</v>
      </c>
      <c r="L8" s="55">
        <v>-19550</v>
      </c>
      <c r="M8" s="55">
        <v>-29832.20227503881</v>
      </c>
      <c r="N8" s="55">
        <v>-39888</v>
      </c>
      <c r="O8" s="55">
        <v>-9994</v>
      </c>
      <c r="P8" s="55">
        <v>-20405</v>
      </c>
      <c r="Q8" s="55">
        <v>-30785</v>
      </c>
      <c r="R8" s="55">
        <v>-41989</v>
      </c>
      <c r="S8" s="55">
        <v>-9156</v>
      </c>
      <c r="T8" s="55">
        <v>-20875</v>
      </c>
      <c r="U8" s="55">
        <v>-31321</v>
      </c>
      <c r="V8" s="55">
        <v>-41862</v>
      </c>
      <c r="W8" s="56">
        <v>-9902</v>
      </c>
      <c r="X8" s="81">
        <f>+W8/S8-1</f>
        <v>8.1476627348187058E-2</v>
      </c>
      <c r="Y8" s="13"/>
      <c r="Z8" s="55">
        <f>I8-H8</f>
        <v>-11249.286957193995</v>
      </c>
      <c r="AA8" s="55">
        <f t="shared" si="4"/>
        <v>-9945.7130428060045</v>
      </c>
      <c r="AB8" s="55">
        <f t="shared" si="5"/>
        <v>-9867</v>
      </c>
      <c r="AC8" s="55">
        <f t="shared" si="0"/>
        <v>-9683</v>
      </c>
      <c r="AD8" s="55">
        <f>M8-L8</f>
        <v>-10282.20227503881</v>
      </c>
      <c r="AE8" s="55">
        <f t="shared" si="1"/>
        <v>-10055.79772496119</v>
      </c>
      <c r="AF8" s="55">
        <f t="shared" si="6"/>
        <v>-9994</v>
      </c>
      <c r="AG8" s="55">
        <f t="shared" ref="AG8:AG9" si="9">P8-O8</f>
        <v>-10411</v>
      </c>
      <c r="AH8" s="55">
        <f>Q8-P8</f>
        <v>-10380</v>
      </c>
      <c r="AI8" s="55">
        <f>R8-Q8</f>
        <v>-11204</v>
      </c>
      <c r="AJ8" s="55">
        <f t="shared" si="7"/>
        <v>-9156</v>
      </c>
      <c r="AK8" s="55">
        <f t="shared" si="3"/>
        <v>-11719</v>
      </c>
      <c r="AL8" s="55">
        <f t="shared" si="3"/>
        <v>-10446</v>
      </c>
      <c r="AM8" s="55">
        <f t="shared" si="3"/>
        <v>-10541</v>
      </c>
      <c r="AN8" s="56">
        <f t="shared" si="8"/>
        <v>-9902</v>
      </c>
    </row>
    <row r="9" spans="2:40" s="10" customFormat="1" ht="15" thickBot="1" x14ac:dyDescent="0.3">
      <c r="D9" s="46" t="s">
        <v>135</v>
      </c>
      <c r="E9" s="55">
        <v>-460</v>
      </c>
      <c r="F9" s="55">
        <v>102.78219999999999</v>
      </c>
      <c r="G9" s="55">
        <v>33</v>
      </c>
      <c r="H9" s="55">
        <v>-120</v>
      </c>
      <c r="I9" s="55">
        <v>-215.857</v>
      </c>
      <c r="J9" s="55">
        <v>-311</v>
      </c>
      <c r="K9" s="55">
        <v>-60</v>
      </c>
      <c r="L9" s="55">
        <v>-91</v>
      </c>
      <c r="M9" s="55">
        <v>-91.850300000000004</v>
      </c>
      <c r="N9" s="55">
        <v>-5</v>
      </c>
      <c r="O9" s="55">
        <v>-61</v>
      </c>
      <c r="P9" s="55">
        <v>-121</v>
      </c>
      <c r="Q9" s="55">
        <v>-181</v>
      </c>
      <c r="R9" s="55">
        <v>-241</v>
      </c>
      <c r="S9" s="55">
        <v>0</v>
      </c>
      <c r="T9" s="55">
        <v>0</v>
      </c>
      <c r="U9" s="55">
        <v>0</v>
      </c>
      <c r="V9" s="55">
        <v>0</v>
      </c>
      <c r="W9" s="56">
        <v>0</v>
      </c>
      <c r="X9" s="81" t="s">
        <v>7</v>
      </c>
      <c r="Y9" s="13"/>
      <c r="Z9" s="55">
        <f>I9-H9</f>
        <v>-95.856999999999999</v>
      </c>
      <c r="AA9" s="55">
        <f t="shared" si="4"/>
        <v>-95.143000000000001</v>
      </c>
      <c r="AB9" s="55">
        <f t="shared" si="5"/>
        <v>-60</v>
      </c>
      <c r="AC9" s="55">
        <f t="shared" si="0"/>
        <v>-31</v>
      </c>
      <c r="AD9" s="55">
        <f>M9-L9</f>
        <v>-0.85030000000000427</v>
      </c>
      <c r="AE9" s="55">
        <f t="shared" si="1"/>
        <v>86.850300000000004</v>
      </c>
      <c r="AF9" s="55">
        <f t="shared" si="6"/>
        <v>-61</v>
      </c>
      <c r="AG9" s="55">
        <f t="shared" si="9"/>
        <v>-60</v>
      </c>
      <c r="AH9" s="55">
        <f>Q9-P9</f>
        <v>-60</v>
      </c>
      <c r="AI9" s="55">
        <f>R9-Q9</f>
        <v>-60</v>
      </c>
      <c r="AJ9" s="55">
        <f t="shared" si="7"/>
        <v>0</v>
      </c>
      <c r="AK9" s="55">
        <f t="shared" si="3"/>
        <v>0</v>
      </c>
      <c r="AL9" s="55">
        <f t="shared" si="3"/>
        <v>0</v>
      </c>
      <c r="AM9" s="55">
        <f t="shared" si="3"/>
        <v>0</v>
      </c>
      <c r="AN9" s="56">
        <f t="shared" si="8"/>
        <v>0</v>
      </c>
    </row>
    <row r="10" spans="2:40" s="10" customFormat="1" ht="15" thickBot="1" x14ac:dyDescent="0.3">
      <c r="D10" s="40" t="s">
        <v>35</v>
      </c>
      <c r="E10" s="58">
        <f>SUM(E6:E9)</f>
        <v>8694</v>
      </c>
      <c r="F10" s="58">
        <f>SUM(F6:F9)</f>
        <v>8624.6461006365043</v>
      </c>
      <c r="G10" s="58">
        <f>SUM(G6:G9)</f>
        <v>12347</v>
      </c>
      <c r="H10" s="58">
        <f t="shared" ref="H10:Q10" si="10">SUM(H6:H9)</f>
        <v>6096</v>
      </c>
      <c r="I10" s="58">
        <f t="shared" si="10"/>
        <v>5427.2184072479686</v>
      </c>
      <c r="J10" s="58">
        <f t="shared" si="10"/>
        <v>6684</v>
      </c>
      <c r="K10" s="58">
        <f t="shared" si="10"/>
        <v>500</v>
      </c>
      <c r="L10" s="58">
        <f t="shared" si="10"/>
        <v>5090</v>
      </c>
      <c r="M10" s="58">
        <f t="shared" si="10"/>
        <v>8590.3283707111495</v>
      </c>
      <c r="N10" s="58">
        <f t="shared" si="10"/>
        <v>13171</v>
      </c>
      <c r="O10" s="58">
        <f t="shared" si="10"/>
        <v>2338</v>
      </c>
      <c r="P10" s="58">
        <f t="shared" si="10"/>
        <v>6312</v>
      </c>
      <c r="Q10" s="58">
        <f t="shared" si="10"/>
        <v>6339</v>
      </c>
      <c r="R10" s="58">
        <f t="shared" ref="R10:W10" si="11">SUM(R6:R9)</f>
        <v>5729</v>
      </c>
      <c r="S10" s="100">
        <f t="shared" si="11"/>
        <v>529</v>
      </c>
      <c r="T10" s="100">
        <f t="shared" si="11"/>
        <v>2787</v>
      </c>
      <c r="U10" s="100">
        <f t="shared" si="11"/>
        <v>2394</v>
      </c>
      <c r="V10" s="100">
        <f t="shared" si="11"/>
        <v>2780</v>
      </c>
      <c r="W10" s="59">
        <f t="shared" si="11"/>
        <v>854</v>
      </c>
      <c r="X10" s="101">
        <f>+W10/S10-1</f>
        <v>0.61436672967863903</v>
      </c>
      <c r="Y10" s="13"/>
      <c r="Z10" s="58">
        <f t="shared" ref="Z10:AE10" si="12">SUM(Z6:Z9)</f>
        <v>-668.78159275203143</v>
      </c>
      <c r="AA10" s="58">
        <f t="shared" si="12"/>
        <v>1256.7815927520314</v>
      </c>
      <c r="AB10" s="58">
        <f t="shared" si="12"/>
        <v>500</v>
      </c>
      <c r="AC10" s="58">
        <f t="shared" si="12"/>
        <v>4590</v>
      </c>
      <c r="AD10" s="58">
        <f>SUM(AD6:AD9)</f>
        <v>3500.3283707111495</v>
      </c>
      <c r="AE10" s="58">
        <f t="shared" si="12"/>
        <v>4580.6716292888505</v>
      </c>
      <c r="AF10" s="58">
        <f t="shared" ref="AF10:AH10" si="13">SUM(AF6:AF9)</f>
        <v>2338</v>
      </c>
      <c r="AG10" s="58">
        <f t="shared" si="13"/>
        <v>3974</v>
      </c>
      <c r="AH10" s="58">
        <f t="shared" si="13"/>
        <v>27</v>
      </c>
      <c r="AI10" s="58">
        <f t="shared" ref="AI10:AN10" si="14">SUM(AI6:AI9)</f>
        <v>-610</v>
      </c>
      <c r="AJ10" s="58">
        <f t="shared" si="14"/>
        <v>529</v>
      </c>
      <c r="AK10" s="58">
        <f t="shared" si="14"/>
        <v>2258</v>
      </c>
      <c r="AL10" s="58">
        <f t="shared" si="14"/>
        <v>-393</v>
      </c>
      <c r="AM10" s="58">
        <f t="shared" si="14"/>
        <v>386</v>
      </c>
      <c r="AN10" s="59">
        <f t="shared" si="14"/>
        <v>854</v>
      </c>
    </row>
    <row r="11" spans="2:40" s="10" customFormat="1" ht="9" customHeight="1" x14ac:dyDescent="0.25">
      <c r="D11" s="3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7"/>
      <c r="Y11" s="13"/>
      <c r="Z11" s="43"/>
      <c r="AA11" s="43"/>
      <c r="AB11" s="43"/>
      <c r="AC11" s="43"/>
      <c r="AD11" s="43"/>
      <c r="AE11" s="43"/>
      <c r="AF11" s="43"/>
      <c r="AG11" s="43"/>
    </row>
    <row r="12" spans="2:40" s="10" customFormat="1" x14ac:dyDescent="0.25">
      <c r="D12" s="52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27" t="s">
        <v>29</v>
      </c>
      <c r="Y12" s="13"/>
      <c r="Z12" s="87"/>
      <c r="AA12" s="87"/>
      <c r="AB12" s="87"/>
      <c r="AC12" s="87"/>
      <c r="AD12" s="87"/>
      <c r="AE12" s="87"/>
      <c r="AF12" s="87"/>
      <c r="AG12" s="87"/>
      <c r="AL12" s="27"/>
      <c r="AM12" s="27"/>
      <c r="AN12" s="27" t="s">
        <v>29</v>
      </c>
    </row>
    <row r="13" spans="2:40" s="10" customFormat="1" x14ac:dyDescent="0.25">
      <c r="D13" s="52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13"/>
      <c r="Z13" s="87"/>
      <c r="AA13" s="87"/>
      <c r="AB13" s="87"/>
      <c r="AC13" s="87"/>
      <c r="AD13" s="87"/>
      <c r="AE13" s="87"/>
      <c r="AF13" s="87"/>
      <c r="AG13" s="87"/>
    </row>
    <row r="14" spans="2:40" s="10" customFormat="1" x14ac:dyDescent="0.25">
      <c r="D14" s="3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7"/>
      <c r="Y14" s="13"/>
      <c r="Z14" s="43"/>
      <c r="AA14" s="43"/>
      <c r="AB14" s="43"/>
      <c r="AC14" s="43"/>
      <c r="AD14" s="43"/>
      <c r="AE14" s="43"/>
      <c r="AF14" s="43"/>
      <c r="AG14" s="43"/>
    </row>
    <row r="15" spans="2:40" s="10" customFormat="1" ht="15" thickBot="1" x14ac:dyDescent="0.3">
      <c r="D15" s="23"/>
      <c r="E15" s="45" t="s">
        <v>6</v>
      </c>
      <c r="F15" s="45" t="s">
        <v>115</v>
      </c>
      <c r="G15" s="45" t="s">
        <v>3</v>
      </c>
      <c r="H15" s="45" t="s">
        <v>116</v>
      </c>
      <c r="I15" s="45" t="s">
        <v>117</v>
      </c>
      <c r="J15" s="45" t="s">
        <v>4</v>
      </c>
      <c r="K15" s="45" t="s">
        <v>118</v>
      </c>
      <c r="L15" s="45" t="s">
        <v>119</v>
      </c>
      <c r="M15" s="45" t="s">
        <v>120</v>
      </c>
      <c r="N15" s="45" t="s">
        <v>14</v>
      </c>
      <c r="O15" s="45" t="s">
        <v>121</v>
      </c>
      <c r="P15" s="45" t="s">
        <v>122</v>
      </c>
      <c r="Q15" s="45" t="s">
        <v>123</v>
      </c>
      <c r="R15" s="45" t="s">
        <v>16</v>
      </c>
      <c r="S15" s="45" t="s">
        <v>17</v>
      </c>
      <c r="T15" s="45" t="s">
        <v>88</v>
      </c>
      <c r="U15" s="45" t="s">
        <v>92</v>
      </c>
      <c r="V15" s="45" t="s">
        <v>95</v>
      </c>
      <c r="W15" s="74" t="s">
        <v>193</v>
      </c>
      <c r="X15" s="88" t="s">
        <v>2</v>
      </c>
      <c r="Y15" s="13"/>
      <c r="Z15" s="45" t="s">
        <v>124</v>
      </c>
      <c r="AA15" s="45" t="s">
        <v>125</v>
      </c>
      <c r="AB15" s="45" t="s">
        <v>126</v>
      </c>
      <c r="AC15" s="45" t="s">
        <v>127</v>
      </c>
      <c r="AD15" s="45" t="s">
        <v>128</v>
      </c>
      <c r="AE15" s="45" t="s">
        <v>129</v>
      </c>
      <c r="AF15" s="45" t="s">
        <v>130</v>
      </c>
      <c r="AG15" s="45" t="s">
        <v>131</v>
      </c>
      <c r="AH15" s="45" t="s">
        <v>132</v>
      </c>
      <c r="AI15" s="45" t="s">
        <v>133</v>
      </c>
      <c r="AJ15" s="45" t="s">
        <v>41</v>
      </c>
      <c r="AK15" s="45" t="s">
        <v>89</v>
      </c>
      <c r="AL15" s="45" t="s">
        <v>93</v>
      </c>
      <c r="AM15" s="45" t="s">
        <v>94</v>
      </c>
      <c r="AN15" s="74" t="s">
        <v>194</v>
      </c>
    </row>
    <row r="16" spans="2:40" s="10" customFormat="1" x14ac:dyDescent="0.25">
      <c r="D16" s="46" t="s">
        <v>39</v>
      </c>
      <c r="E16" s="47">
        <f>-E7/E6</f>
        <v>0.52177347791268969</v>
      </c>
      <c r="F16" s="47">
        <f t="shared" ref="F16" si="15">-F7/F6</f>
        <v>0.52254440468725705</v>
      </c>
      <c r="G16" s="47">
        <f>-G7/G6</f>
        <v>0.51760179232417691</v>
      </c>
      <c r="H16" s="47">
        <f t="shared" ref="H16:Q16" si="16">-H7/H6</f>
        <v>0.52299019969051652</v>
      </c>
      <c r="I16" s="47">
        <f t="shared" si="16"/>
        <v>0.55707220496621823</v>
      </c>
      <c r="J16" s="47">
        <f t="shared" si="16"/>
        <v>0.57086762411919745</v>
      </c>
      <c r="K16" s="47">
        <f t="shared" si="16"/>
        <v>0.63701872867785281</v>
      </c>
      <c r="L16" s="47">
        <f t="shared" si="16"/>
        <v>0.57482034178042152</v>
      </c>
      <c r="M16" s="47">
        <f t="shared" si="16"/>
        <v>0.56376616824846848</v>
      </c>
      <c r="N16" s="47">
        <f t="shared" si="16"/>
        <v>0.5543349542694449</v>
      </c>
      <c r="O16" s="47">
        <f t="shared" si="16"/>
        <v>0.59882817557943802</v>
      </c>
      <c r="P16" s="47">
        <f t="shared" si="16"/>
        <v>0.57414195268243917</v>
      </c>
      <c r="Q16" s="47">
        <f t="shared" si="16"/>
        <v>0.61238336692919926</v>
      </c>
      <c r="R16" s="47">
        <f t="shared" ref="R16:W16" si="17">-R7/R6</f>
        <v>0.63051333215201966</v>
      </c>
      <c r="S16" s="47">
        <f t="shared" si="17"/>
        <v>0.71872912612900419</v>
      </c>
      <c r="T16" s="47">
        <f t="shared" si="17"/>
        <v>0.66120187282541776</v>
      </c>
      <c r="U16" s="47">
        <f t="shared" si="17"/>
        <v>0.68120012103332195</v>
      </c>
      <c r="V16" s="47">
        <f t="shared" si="17"/>
        <v>0.68552227450759395</v>
      </c>
      <c r="W16" s="48">
        <f t="shared" si="17"/>
        <v>0.70113920533481522</v>
      </c>
      <c r="X16" s="69">
        <f>(W16-S16)*100</f>
        <v>-1.7589920794188973</v>
      </c>
      <c r="Y16" s="13"/>
      <c r="Z16" s="47">
        <f t="shared" ref="Z16" si="18">-Z7/Z6</f>
        <v>0.62249080034863247</v>
      </c>
      <c r="AA16" s="47">
        <f>-AA7/AA6</f>
        <v>0.61017000343536143</v>
      </c>
      <c r="AB16" s="47">
        <f t="shared" ref="AB16:AL16" si="19">-AB7/AB6</f>
        <v>0.63701872867785281</v>
      </c>
      <c r="AC16" s="47">
        <f t="shared" si="19"/>
        <v>0.51413043478260867</v>
      </c>
      <c r="AD16" s="47">
        <f t="shared" si="19"/>
        <v>0.5424206793289551</v>
      </c>
      <c r="AE16" s="47">
        <f t="shared" si="19"/>
        <v>0.527281537827338</v>
      </c>
      <c r="AF16" s="47">
        <f t="shared" si="19"/>
        <v>0.59882817557943802</v>
      </c>
      <c r="AG16" s="47">
        <f t="shared" si="19"/>
        <v>0.5504061751066015</v>
      </c>
      <c r="AH16" s="47">
        <f t="shared" si="19"/>
        <v>0.68492820806116617</v>
      </c>
      <c r="AI16" s="47">
        <f t="shared" si="19"/>
        <v>0.68251035551449768</v>
      </c>
      <c r="AJ16" s="47">
        <f t="shared" si="19"/>
        <v>0.71872912612900419</v>
      </c>
      <c r="AK16" s="47">
        <f t="shared" si="19"/>
        <v>0.60525869859918657</v>
      </c>
      <c r="AL16" s="47">
        <f t="shared" si="19"/>
        <v>0.7200890992621467</v>
      </c>
      <c r="AM16" s="47">
        <f t="shared" ref="AM16:AN16" si="20">-AM7/AM6</f>
        <v>0.69814917127071818</v>
      </c>
      <c r="AN16" s="48">
        <f t="shared" si="20"/>
        <v>0.70113920533481522</v>
      </c>
    </row>
    <row r="17" spans="4:40" s="10" customFormat="1" ht="15" thickBot="1" x14ac:dyDescent="0.3">
      <c r="D17" s="46" t="s">
        <v>40</v>
      </c>
      <c r="E17" s="47">
        <f>-(E8+E9)/E6</f>
        <v>0.38414172239897842</v>
      </c>
      <c r="F17" s="47">
        <f t="shared" ref="F17" si="21">-(F8+F9)/F6</f>
        <v>0.36400403948880483</v>
      </c>
      <c r="G17" s="47">
        <f>-(G8+G9)/G6</f>
        <v>0.36212741087083578</v>
      </c>
      <c r="H17" s="47">
        <f t="shared" ref="H17:Q17" si="22">-(H8+H9)/H6</f>
        <v>0.36471151720580652</v>
      </c>
      <c r="I17" s="47">
        <f t="shared" si="22"/>
        <v>0.37719517093962135</v>
      </c>
      <c r="J17" s="47">
        <f t="shared" si="22"/>
        <v>0.36921090850411492</v>
      </c>
      <c r="K17" s="47">
        <f t="shared" si="22"/>
        <v>0.34557543688644432</v>
      </c>
      <c r="L17" s="47">
        <f t="shared" si="22"/>
        <v>0.33767149193687035</v>
      </c>
      <c r="M17" s="47">
        <f t="shared" si="22"/>
        <v>0.33893532223017464</v>
      </c>
      <c r="N17" s="47">
        <f t="shared" si="22"/>
        <v>0.33504665440466291</v>
      </c>
      <c r="O17" s="47">
        <f t="shared" si="22"/>
        <v>0.32548879968923994</v>
      </c>
      <c r="P17" s="47">
        <f t="shared" si="22"/>
        <v>0.32570095682391581</v>
      </c>
      <c r="Q17" s="47">
        <f t="shared" si="22"/>
        <v>0.32175141829970283</v>
      </c>
      <c r="R17" s="47">
        <f t="shared" ref="R17:W17" si="23">-(R8+R9)/R6</f>
        <v>0.32534919375341875</v>
      </c>
      <c r="S17" s="47">
        <f t="shared" si="23"/>
        <v>0.26590770481805243</v>
      </c>
      <c r="T17" s="47">
        <f t="shared" si="23"/>
        <v>0.29889320026918287</v>
      </c>
      <c r="U17" s="47">
        <f t="shared" si="23"/>
        <v>0.29616286546389803</v>
      </c>
      <c r="V17" s="47">
        <f t="shared" si="23"/>
        <v>0.29489419256671079</v>
      </c>
      <c r="W17" s="48">
        <f t="shared" si="23"/>
        <v>0.27513198110586273</v>
      </c>
      <c r="X17" s="69">
        <f>(W17-S17)*100</f>
        <v>0.92242762878103068</v>
      </c>
      <c r="Y17" s="13"/>
      <c r="Z17" s="47">
        <f t="shared" ref="Z17" si="24">-(Z8+Z9)/Z6</f>
        <v>0.40115687993826482</v>
      </c>
      <c r="AA17" s="47">
        <f>-(AA8+AA9)/AA6</f>
        <v>0.34646419038556425</v>
      </c>
      <c r="AB17" s="47">
        <f t="shared" ref="AB17:AL17" si="25">-(AB8+AB9)/AB6</f>
        <v>0.34557543688644432</v>
      </c>
      <c r="AC17" s="47">
        <f t="shared" si="25"/>
        <v>0.32995923913043479</v>
      </c>
      <c r="AD17" s="47">
        <f t="shared" si="25"/>
        <v>0.34137576478735854</v>
      </c>
      <c r="AE17" s="47">
        <f t="shared" si="25"/>
        <v>0.32389201934680334</v>
      </c>
      <c r="AF17" s="47">
        <f t="shared" si="25"/>
        <v>0.32548879968923994</v>
      </c>
      <c r="AG17" s="47">
        <f t="shared" si="25"/>
        <v>0.32590494568769646</v>
      </c>
      <c r="AH17" s="47">
        <f t="shared" si="25"/>
        <v>0.3142590530086391</v>
      </c>
      <c r="AI17" s="47">
        <f t="shared" si="25"/>
        <v>0.3356676699347379</v>
      </c>
      <c r="AJ17" s="47">
        <f t="shared" si="25"/>
        <v>0.26590770481805243</v>
      </c>
      <c r="AK17" s="47">
        <f t="shared" si="25"/>
        <v>0.33097040216900137</v>
      </c>
      <c r="AL17" s="47">
        <f t="shared" si="25"/>
        <v>0.29085340387024922</v>
      </c>
      <c r="AM17" s="47">
        <f t="shared" ref="AM17:AN17" si="26">-(AM8+AM9)/AM6</f>
        <v>0.29118784530386738</v>
      </c>
      <c r="AN17" s="48">
        <f t="shared" si="26"/>
        <v>0.27513198110586273</v>
      </c>
    </row>
    <row r="18" spans="4:40" s="10" customFormat="1" ht="15" thickBot="1" x14ac:dyDescent="0.3">
      <c r="D18" s="40" t="s">
        <v>36</v>
      </c>
      <c r="E18" s="49">
        <f>-(E7+E8+E9)/E6</f>
        <v>0.90591520031166806</v>
      </c>
      <c r="F18" s="49">
        <f t="shared" ref="F18" si="27">-(F7+F8+F9)/F6</f>
        <v>0.88654844417606171</v>
      </c>
      <c r="G18" s="49">
        <f>-(G7+G8+G9)/G6</f>
        <v>0.87972920319501269</v>
      </c>
      <c r="H18" s="49">
        <f t="shared" ref="H18:Q18" si="28">-(H7+H8+H9)/H6</f>
        <v>0.88770171689632305</v>
      </c>
      <c r="I18" s="49">
        <f t="shared" si="28"/>
        <v>0.93426737590583953</v>
      </c>
      <c r="J18" s="49">
        <f t="shared" si="28"/>
        <v>0.94007853262331231</v>
      </c>
      <c r="K18" s="49">
        <f t="shared" si="28"/>
        <v>0.98259416556429713</v>
      </c>
      <c r="L18" s="49">
        <f t="shared" si="28"/>
        <v>0.91249183371729192</v>
      </c>
      <c r="M18" s="49">
        <f t="shared" si="28"/>
        <v>0.90270149047864334</v>
      </c>
      <c r="N18" s="49">
        <f t="shared" si="28"/>
        <v>0.88938160867410787</v>
      </c>
      <c r="O18" s="49">
        <f t="shared" si="28"/>
        <v>0.92431697526867795</v>
      </c>
      <c r="P18" s="49">
        <f t="shared" si="28"/>
        <v>0.89984290950635504</v>
      </c>
      <c r="Q18" s="49">
        <f t="shared" si="28"/>
        <v>0.93413478522890214</v>
      </c>
      <c r="R18" s="49">
        <f t="shared" ref="R18:W18" si="29">-(R7+R8+R9)/R6</f>
        <v>0.95586252590543841</v>
      </c>
      <c r="S18" s="49">
        <f t="shared" si="29"/>
        <v>0.98463683094705656</v>
      </c>
      <c r="T18" s="49">
        <f t="shared" si="29"/>
        <v>0.96009507309460063</v>
      </c>
      <c r="U18" s="49">
        <f t="shared" si="29"/>
        <v>0.97736298649721998</v>
      </c>
      <c r="V18" s="49">
        <f t="shared" si="29"/>
        <v>0.98041646707430474</v>
      </c>
      <c r="W18" s="50">
        <f t="shared" si="29"/>
        <v>0.97627118644067801</v>
      </c>
      <c r="X18" s="89">
        <f>(W18-S18)*100</f>
        <v>-0.83656445063785556</v>
      </c>
      <c r="Y18" s="13"/>
      <c r="Z18" s="49">
        <f t="shared" ref="Z18" si="30">-(Z7+Z8+Z9)/Z6</f>
        <v>1.0236476802868972</v>
      </c>
      <c r="AA18" s="49">
        <f>-(AA7+AA8+AA9)/AA6</f>
        <v>0.95663419382092563</v>
      </c>
      <c r="AB18" s="49">
        <f t="shared" ref="AB18:AL18" si="31">-(AB7+AB8+AB9)/AB6</f>
        <v>0.98259416556429713</v>
      </c>
      <c r="AC18" s="49">
        <f t="shared" si="31"/>
        <v>0.84408967391304346</v>
      </c>
      <c r="AD18" s="49">
        <f t="shared" si="31"/>
        <v>0.88379644411631353</v>
      </c>
      <c r="AE18" s="49">
        <f t="shared" si="31"/>
        <v>0.85117355717414145</v>
      </c>
      <c r="AF18" s="49">
        <f t="shared" si="31"/>
        <v>0.92431697526867795</v>
      </c>
      <c r="AG18" s="49">
        <f t="shared" si="31"/>
        <v>0.87631112079429796</v>
      </c>
      <c r="AH18" s="49">
        <f t="shared" si="31"/>
        <v>0.99918726106980527</v>
      </c>
      <c r="AI18" s="49">
        <f t="shared" si="31"/>
        <v>1.0181780254492356</v>
      </c>
      <c r="AJ18" s="49">
        <f t="shared" si="31"/>
        <v>0.98463683094705656</v>
      </c>
      <c r="AK18" s="49">
        <f t="shared" si="31"/>
        <v>0.93622910076818799</v>
      </c>
      <c r="AL18" s="49">
        <f t="shared" si="31"/>
        <v>1.010942503132396</v>
      </c>
      <c r="AM18" s="49">
        <f t="shared" ref="AM18:AN18" si="32">-(AM7+AM8+AM9)/AM6</f>
        <v>0.98933701657458561</v>
      </c>
      <c r="AN18" s="50">
        <f t="shared" si="32"/>
        <v>0.97627118644067801</v>
      </c>
    </row>
    <row r="19" spans="4:40" s="10" customFormat="1" x14ac:dyDescent="0.25">
      <c r="D19" s="3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102"/>
      <c r="T19" s="102"/>
      <c r="U19" s="102"/>
      <c r="V19" s="102"/>
      <c r="W19" s="102"/>
      <c r="X19" s="63"/>
      <c r="Y19" s="43"/>
    </row>
    <row r="20" spans="4:40" s="10" customFormat="1" x14ac:dyDescent="0.25">
      <c r="S20" s="103"/>
      <c r="T20" s="103"/>
      <c r="U20" s="103"/>
      <c r="V20" s="103"/>
      <c r="W20" s="103"/>
      <c r="X20" s="96"/>
      <c r="Y20" s="87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ignoredErrors>
    <ignoredError sqref="E10:W10" formulaRange="1"/>
    <ignoredError sqref="AB5:AK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N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19" width="11" style="73" customWidth="1"/>
    <col min="20" max="21" width="11" style="73" hidden="1" customWidth="1" outlineLevel="1"/>
    <col min="22" max="22" width="11" style="73" customWidth="1" collapsed="1"/>
    <col min="23" max="24" width="11" style="73" customWidth="1"/>
    <col min="25" max="25" width="3" style="13" customWidth="1"/>
    <col min="26" max="16384" width="10.85546875" style="73"/>
  </cols>
  <sheetData>
    <row r="1" spans="2:40" ht="16.5" customHeight="1" x14ac:dyDescent="0.2"/>
    <row r="2" spans="2:40" ht="18.75" customHeight="1" thickBot="1" x14ac:dyDescent="0.25">
      <c r="B2" s="11" t="s">
        <v>27</v>
      </c>
      <c r="D2" s="14" t="s">
        <v>147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34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5" t="s">
        <v>6</v>
      </c>
      <c r="F4" s="45" t="s">
        <v>115</v>
      </c>
      <c r="G4" s="45" t="s">
        <v>3</v>
      </c>
      <c r="H4" s="45" t="s">
        <v>116</v>
      </c>
      <c r="I4" s="45" t="s">
        <v>117</v>
      </c>
      <c r="J4" s="45" t="s">
        <v>4</v>
      </c>
      <c r="K4" s="45" t="s">
        <v>118</v>
      </c>
      <c r="L4" s="45" t="s">
        <v>119</v>
      </c>
      <c r="M4" s="45" t="s">
        <v>120</v>
      </c>
      <c r="N4" s="45" t="s">
        <v>14</v>
      </c>
      <c r="O4" s="45" t="s">
        <v>121</v>
      </c>
      <c r="P4" s="45" t="s">
        <v>122</v>
      </c>
      <c r="Q4" s="45" t="s">
        <v>123</v>
      </c>
      <c r="R4" s="45" t="s">
        <v>16</v>
      </c>
      <c r="S4" s="45" t="s">
        <v>17</v>
      </c>
      <c r="T4" s="45" t="s">
        <v>88</v>
      </c>
      <c r="U4" s="45" t="s">
        <v>92</v>
      </c>
      <c r="V4" s="45" t="s">
        <v>95</v>
      </c>
      <c r="W4" s="74" t="s">
        <v>193</v>
      </c>
      <c r="X4" s="104" t="s">
        <v>0</v>
      </c>
      <c r="Y4" s="13"/>
      <c r="Z4" s="45" t="s">
        <v>124</v>
      </c>
      <c r="AA4" s="45" t="s">
        <v>125</v>
      </c>
      <c r="AB4" s="45" t="s">
        <v>126</v>
      </c>
      <c r="AC4" s="45" t="s">
        <v>127</v>
      </c>
      <c r="AD4" s="45" t="s">
        <v>128</v>
      </c>
      <c r="AE4" s="45" t="s">
        <v>129</v>
      </c>
      <c r="AF4" s="45" t="s">
        <v>130</v>
      </c>
      <c r="AG4" s="45" t="s">
        <v>131</v>
      </c>
      <c r="AH4" s="45" t="s">
        <v>132</v>
      </c>
      <c r="AI4" s="45" t="s">
        <v>133</v>
      </c>
      <c r="AJ4" s="45" t="s">
        <v>41</v>
      </c>
      <c r="AK4" s="45" t="s">
        <v>89</v>
      </c>
      <c r="AL4" s="45" t="s">
        <v>93</v>
      </c>
      <c r="AM4" s="45" t="s">
        <v>94</v>
      </c>
      <c r="AN4" s="74" t="s">
        <v>194</v>
      </c>
    </row>
    <row r="5" spans="2:40" s="10" customFormat="1" x14ac:dyDescent="0.25">
      <c r="D5" s="31" t="s">
        <v>96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7">
        <v>15579</v>
      </c>
      <c r="X5" s="78">
        <f t="shared" ref="X5:X10" si="0">+W5/S5-1</f>
        <v>8.6780606906173618E-2</v>
      </c>
      <c r="Y5" s="13"/>
      <c r="Z5" s="76">
        <f>I5-H5</f>
        <v>3618.9996899999969</v>
      </c>
      <c r="AA5" s="76">
        <f>J5-I5</f>
        <v>4949.3531000000039</v>
      </c>
      <c r="AB5" s="76">
        <f>K5</f>
        <v>12002</v>
      </c>
      <c r="AC5" s="76">
        <f t="shared" ref="AC5:AE9" si="1">L5-K5</f>
        <v>4620</v>
      </c>
      <c r="AD5" s="76">
        <f t="shared" si="1"/>
        <v>4290.6946499999976</v>
      </c>
      <c r="AE5" s="76">
        <f t="shared" si="1"/>
        <v>5536.3053500000024</v>
      </c>
      <c r="AF5" s="76">
        <f t="shared" ref="AF5:AF8" si="2">O5</f>
        <v>13760</v>
      </c>
      <c r="AG5" s="76">
        <f t="shared" ref="AG5:AI9" si="3">P5-O5</f>
        <v>5088</v>
      </c>
      <c r="AH5" s="76">
        <f t="shared" si="3"/>
        <v>4456</v>
      </c>
      <c r="AI5" s="76">
        <f t="shared" si="3"/>
        <v>5778</v>
      </c>
      <c r="AJ5" s="76">
        <f>S5</f>
        <v>14335</v>
      </c>
      <c r="AK5" s="76">
        <f t="shared" ref="AK5:AM9" si="4">T5-S5</f>
        <v>5468</v>
      </c>
      <c r="AL5" s="76">
        <f t="shared" si="4"/>
        <v>4533</v>
      </c>
      <c r="AM5" s="76">
        <f t="shared" si="4"/>
        <v>6048</v>
      </c>
      <c r="AN5" s="77">
        <f>W5</f>
        <v>15579</v>
      </c>
    </row>
    <row r="6" spans="2:40" s="10" customFormat="1" x14ac:dyDescent="0.25">
      <c r="D6" s="31" t="s">
        <v>134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7">
        <v>4321</v>
      </c>
      <c r="X6" s="78">
        <f t="shared" si="0"/>
        <v>7.9710144927536142E-2</v>
      </c>
      <c r="Y6" s="13"/>
      <c r="Z6" s="76">
        <f>I6-H6</f>
        <v>2692.615569999989</v>
      </c>
      <c r="AA6" s="76">
        <f t="shared" ref="AA6:AA9" si="5">J6-I6</f>
        <v>4442.384430000011</v>
      </c>
      <c r="AB6" s="76">
        <f t="shared" ref="AB6:AB9" si="6">K6</f>
        <v>3056</v>
      </c>
      <c r="AC6" s="76">
        <f t="shared" si="1"/>
        <v>3286</v>
      </c>
      <c r="AD6" s="76">
        <f t="shared" si="1"/>
        <v>3518.6312800000014</v>
      </c>
      <c r="AE6" s="76">
        <f t="shared" si="1"/>
        <v>5120.3687199999986</v>
      </c>
      <c r="AF6" s="76">
        <f t="shared" si="2"/>
        <v>3754</v>
      </c>
      <c r="AG6" s="76">
        <f t="shared" si="3"/>
        <v>3856</v>
      </c>
      <c r="AH6" s="76">
        <f t="shared" si="3"/>
        <v>3966</v>
      </c>
      <c r="AI6" s="76">
        <f t="shared" si="3"/>
        <v>4929</v>
      </c>
      <c r="AJ6" s="76">
        <f t="shared" ref="AJ6:AJ9" si="7">S6</f>
        <v>4002</v>
      </c>
      <c r="AK6" s="76">
        <f t="shared" si="4"/>
        <v>4060</v>
      </c>
      <c r="AL6" s="76">
        <f t="shared" si="4"/>
        <v>4142</v>
      </c>
      <c r="AM6" s="76">
        <f t="shared" si="4"/>
        <v>3901</v>
      </c>
      <c r="AN6" s="77">
        <f t="shared" ref="AN6:AN9" si="8">W6</f>
        <v>4321</v>
      </c>
    </row>
    <row r="7" spans="2:40" s="10" customFormat="1" x14ac:dyDescent="0.25">
      <c r="D7" s="46" t="s">
        <v>37</v>
      </c>
      <c r="E7" s="55">
        <v>-2866</v>
      </c>
      <c r="F7" s="55">
        <v>-5492.4931738313571</v>
      </c>
      <c r="G7" s="55">
        <v>-7856</v>
      </c>
      <c r="H7" s="55">
        <v>-5258</v>
      </c>
      <c r="I7" s="55">
        <v>-7858.8337416389977</v>
      </c>
      <c r="J7" s="55">
        <v>-10712</v>
      </c>
      <c r="K7" s="55">
        <v>-3153</v>
      </c>
      <c r="L7" s="55">
        <v>-6678</v>
      </c>
      <c r="M7" s="55">
        <v>-9731.433319279995</v>
      </c>
      <c r="N7" s="55">
        <v>-12951</v>
      </c>
      <c r="O7" s="55">
        <v>-3799</v>
      </c>
      <c r="P7" s="55">
        <v>-7530</v>
      </c>
      <c r="Q7" s="55">
        <v>-10535</v>
      </c>
      <c r="R7" s="55">
        <v>-14321</v>
      </c>
      <c r="S7" s="55">
        <v>-3806</v>
      </c>
      <c r="T7" s="55">
        <v>-7551</v>
      </c>
      <c r="U7" s="55">
        <v>-10775</v>
      </c>
      <c r="V7" s="55">
        <v>-14457</v>
      </c>
      <c r="W7" s="56">
        <v>-3814</v>
      </c>
      <c r="X7" s="81">
        <f t="shared" si="0"/>
        <v>2.1019442984759884E-3</v>
      </c>
      <c r="Y7" s="13"/>
      <c r="Z7" s="55">
        <f>I7-H7</f>
        <v>-2600.8337416389977</v>
      </c>
      <c r="AA7" s="55">
        <f t="shared" si="5"/>
        <v>-2853.1662583610023</v>
      </c>
      <c r="AB7" s="55">
        <f t="shared" si="6"/>
        <v>-3153</v>
      </c>
      <c r="AC7" s="55">
        <f t="shared" si="1"/>
        <v>-3525</v>
      </c>
      <c r="AD7" s="55">
        <f t="shared" si="1"/>
        <v>-3053.433319279995</v>
      </c>
      <c r="AE7" s="55">
        <f t="shared" si="1"/>
        <v>-3219.566680720005</v>
      </c>
      <c r="AF7" s="55">
        <f t="shared" si="2"/>
        <v>-3799</v>
      </c>
      <c r="AG7" s="55">
        <f t="shared" si="3"/>
        <v>-3731</v>
      </c>
      <c r="AH7" s="55">
        <f t="shared" si="3"/>
        <v>-3005</v>
      </c>
      <c r="AI7" s="55">
        <f t="shared" si="3"/>
        <v>-3786</v>
      </c>
      <c r="AJ7" s="55">
        <f t="shared" si="7"/>
        <v>-3806</v>
      </c>
      <c r="AK7" s="55">
        <f t="shared" si="4"/>
        <v>-3745</v>
      </c>
      <c r="AL7" s="55">
        <f t="shared" si="4"/>
        <v>-3224</v>
      </c>
      <c r="AM7" s="55">
        <f t="shared" si="4"/>
        <v>-3682</v>
      </c>
      <c r="AN7" s="56">
        <f t="shared" si="8"/>
        <v>-3814</v>
      </c>
    </row>
    <row r="8" spans="2:40" s="10" customFormat="1" x14ac:dyDescent="0.25">
      <c r="D8" s="46" t="s">
        <v>38</v>
      </c>
      <c r="E8" s="55">
        <v>-6083</v>
      </c>
      <c r="F8" s="55">
        <v>-5317.2468838576415</v>
      </c>
      <c r="G8" s="55">
        <v>-9085</v>
      </c>
      <c r="H8" s="55">
        <v>-2166</v>
      </c>
      <c r="I8" s="55">
        <v>-4556.8115809177998</v>
      </c>
      <c r="J8" s="55">
        <v>-8920</v>
      </c>
      <c r="K8" s="55">
        <v>-4</v>
      </c>
      <c r="L8" s="55">
        <v>-2567</v>
      </c>
      <c r="M8" s="55">
        <v>-5210.2223628648017</v>
      </c>
      <c r="N8" s="55">
        <v>-9147</v>
      </c>
      <c r="O8" s="55">
        <v>181</v>
      </c>
      <c r="P8" s="55">
        <v>-2330</v>
      </c>
      <c r="Q8" s="55">
        <v>-5563</v>
      </c>
      <c r="R8" s="55">
        <v>-9327</v>
      </c>
      <c r="S8" s="55">
        <v>-2581</v>
      </c>
      <c r="T8" s="55">
        <v>-5169</v>
      </c>
      <c r="U8" s="55">
        <v>-8540</v>
      </c>
      <c r="V8" s="55">
        <v>-12635</v>
      </c>
      <c r="W8" s="56">
        <v>-2268</v>
      </c>
      <c r="X8" s="81">
        <f t="shared" si="0"/>
        <v>-0.12127082526152655</v>
      </c>
      <c r="Y8" s="13"/>
      <c r="Z8" s="55">
        <f>I8-H8</f>
        <v>-2390.8115809177998</v>
      </c>
      <c r="AA8" s="55">
        <f t="shared" si="5"/>
        <v>-4363.1884190822002</v>
      </c>
      <c r="AB8" s="55">
        <f t="shared" si="6"/>
        <v>-4</v>
      </c>
      <c r="AC8" s="55">
        <f t="shared" si="1"/>
        <v>-2563</v>
      </c>
      <c r="AD8" s="55">
        <f t="shared" si="1"/>
        <v>-2643.2223628648017</v>
      </c>
      <c r="AE8" s="55">
        <f t="shared" si="1"/>
        <v>-3936.7776371351983</v>
      </c>
      <c r="AF8" s="55">
        <f t="shared" si="2"/>
        <v>181</v>
      </c>
      <c r="AG8" s="55">
        <f t="shared" si="3"/>
        <v>-2511</v>
      </c>
      <c r="AH8" s="55">
        <f t="shared" si="3"/>
        <v>-3233</v>
      </c>
      <c r="AI8" s="55">
        <f t="shared" si="3"/>
        <v>-3764</v>
      </c>
      <c r="AJ8" s="55">
        <f t="shared" si="7"/>
        <v>-2581</v>
      </c>
      <c r="AK8" s="55">
        <f t="shared" si="4"/>
        <v>-2588</v>
      </c>
      <c r="AL8" s="55">
        <f t="shared" si="4"/>
        <v>-3371</v>
      </c>
      <c r="AM8" s="55">
        <f t="shared" si="4"/>
        <v>-4095</v>
      </c>
      <c r="AN8" s="56">
        <f t="shared" si="8"/>
        <v>-2268</v>
      </c>
    </row>
    <row r="9" spans="2:40" s="10" customFormat="1" ht="15" thickBot="1" x14ac:dyDescent="0.3">
      <c r="D9" s="46" t="s">
        <v>135</v>
      </c>
      <c r="E9" s="55">
        <v>-240</v>
      </c>
      <c r="F9" s="55">
        <v>-180</v>
      </c>
      <c r="G9" s="55">
        <v>-153</v>
      </c>
      <c r="H9" s="55">
        <v>-121</v>
      </c>
      <c r="I9" s="55">
        <v>-199.06700000000001</v>
      </c>
      <c r="J9" s="55">
        <v>-278</v>
      </c>
      <c r="K9" s="55">
        <v>-60</v>
      </c>
      <c r="L9" s="55">
        <v>-103</v>
      </c>
      <c r="M9" s="55">
        <v>-128.2534</v>
      </c>
      <c r="N9" s="55">
        <v>-93</v>
      </c>
      <c r="O9" s="55">
        <v>-61</v>
      </c>
      <c r="P9" s="55">
        <v>-121</v>
      </c>
      <c r="Q9" s="55">
        <v>-182</v>
      </c>
      <c r="R9" s="55">
        <v>-243</v>
      </c>
      <c r="S9" s="55">
        <v>-1</v>
      </c>
      <c r="T9" s="55">
        <v>-1</v>
      </c>
      <c r="U9" s="55">
        <v>-2</v>
      </c>
      <c r="V9" s="55">
        <v>-3</v>
      </c>
      <c r="W9" s="56">
        <v>0</v>
      </c>
      <c r="X9" s="81">
        <f t="shared" si="0"/>
        <v>-1</v>
      </c>
      <c r="Y9" s="13"/>
      <c r="Z9" s="55">
        <f>I9-H9</f>
        <v>-78.067000000000007</v>
      </c>
      <c r="AA9" s="55">
        <f t="shared" si="5"/>
        <v>-78.932999999999993</v>
      </c>
      <c r="AB9" s="55">
        <f t="shared" si="6"/>
        <v>-60</v>
      </c>
      <c r="AC9" s="55">
        <f t="shared" si="1"/>
        <v>-43</v>
      </c>
      <c r="AD9" s="55">
        <f t="shared" si="1"/>
        <v>-25.253399999999999</v>
      </c>
      <c r="AE9" s="55">
        <f t="shared" si="1"/>
        <v>35.253399999999999</v>
      </c>
      <c r="AF9" s="55">
        <f>O9</f>
        <v>-61</v>
      </c>
      <c r="AG9" s="55">
        <f t="shared" si="3"/>
        <v>-60</v>
      </c>
      <c r="AH9" s="55">
        <f t="shared" si="3"/>
        <v>-61</v>
      </c>
      <c r="AI9" s="55">
        <f t="shared" si="3"/>
        <v>-61</v>
      </c>
      <c r="AJ9" s="55">
        <f t="shared" si="7"/>
        <v>-1</v>
      </c>
      <c r="AK9" s="55">
        <f t="shared" si="4"/>
        <v>0</v>
      </c>
      <c r="AL9" s="55">
        <f t="shared" si="4"/>
        <v>-1</v>
      </c>
      <c r="AM9" s="55">
        <f t="shared" si="4"/>
        <v>-1</v>
      </c>
      <c r="AN9" s="56">
        <f t="shared" si="8"/>
        <v>0</v>
      </c>
    </row>
    <row r="10" spans="2:40" s="10" customFormat="1" ht="15" thickBot="1" x14ac:dyDescent="0.3">
      <c r="D10" s="40" t="s">
        <v>35</v>
      </c>
      <c r="E10" s="58">
        <f>SUM(E6:E9)</f>
        <v>-7042</v>
      </c>
      <c r="F10" s="58">
        <f>SUM(F6:F9)</f>
        <v>-6229.9020976889942</v>
      </c>
      <c r="G10" s="58">
        <f>SUM(G6:G9)</f>
        <v>-16346</v>
      </c>
      <c r="H10" s="58">
        <f t="shared" ref="H10:Q10" si="9">SUM(H6:H9)</f>
        <v>-2660</v>
      </c>
      <c r="I10" s="58">
        <f t="shared" si="9"/>
        <v>-5037.0967525568085</v>
      </c>
      <c r="J10" s="58">
        <f t="shared" si="9"/>
        <v>-7890</v>
      </c>
      <c r="K10" s="58">
        <f t="shared" si="9"/>
        <v>-161</v>
      </c>
      <c r="L10" s="58">
        <f t="shared" si="9"/>
        <v>-3006</v>
      </c>
      <c r="M10" s="58">
        <f t="shared" si="9"/>
        <v>-5209.2778021447948</v>
      </c>
      <c r="N10" s="58">
        <f t="shared" si="9"/>
        <v>-7210</v>
      </c>
      <c r="O10" s="58">
        <f t="shared" si="9"/>
        <v>75</v>
      </c>
      <c r="P10" s="58">
        <f t="shared" si="9"/>
        <v>-2371</v>
      </c>
      <c r="Q10" s="58">
        <f t="shared" si="9"/>
        <v>-4704</v>
      </c>
      <c r="R10" s="58">
        <f t="shared" ref="R10:W10" si="10">SUM(R6:R9)</f>
        <v>-7386</v>
      </c>
      <c r="S10" s="58">
        <f t="shared" si="10"/>
        <v>-2386</v>
      </c>
      <c r="T10" s="58">
        <f t="shared" si="10"/>
        <v>-4659</v>
      </c>
      <c r="U10" s="58">
        <f t="shared" si="10"/>
        <v>-7113</v>
      </c>
      <c r="V10" s="58">
        <f t="shared" si="10"/>
        <v>-10990</v>
      </c>
      <c r="W10" s="59">
        <f t="shared" si="10"/>
        <v>-1761</v>
      </c>
      <c r="X10" s="101">
        <f t="shared" si="0"/>
        <v>-0.2619446772841576</v>
      </c>
      <c r="Y10" s="13"/>
      <c r="Z10" s="58">
        <f t="shared" ref="Z10:AH10" si="11">SUM(Z6:Z9)</f>
        <v>-2377.0967525568085</v>
      </c>
      <c r="AA10" s="58">
        <f t="shared" si="11"/>
        <v>-2852.9032474431915</v>
      </c>
      <c r="AB10" s="58">
        <f t="shared" si="11"/>
        <v>-161</v>
      </c>
      <c r="AC10" s="58">
        <f t="shared" si="11"/>
        <v>-2845</v>
      </c>
      <c r="AD10" s="58">
        <f>SUM(AD6:AD9)</f>
        <v>-2203.2778021447953</v>
      </c>
      <c r="AE10" s="58">
        <f t="shared" si="11"/>
        <v>-2000.7221978552047</v>
      </c>
      <c r="AF10" s="58">
        <f t="shared" si="11"/>
        <v>75</v>
      </c>
      <c r="AG10" s="58">
        <f t="shared" si="11"/>
        <v>-2446</v>
      </c>
      <c r="AH10" s="58">
        <f t="shared" si="11"/>
        <v>-2333</v>
      </c>
      <c r="AI10" s="58">
        <f t="shared" ref="AI10:AN10" si="12">SUM(AI6:AI9)</f>
        <v>-2682</v>
      </c>
      <c r="AJ10" s="58">
        <f t="shared" si="12"/>
        <v>-2386</v>
      </c>
      <c r="AK10" s="58">
        <f t="shared" si="12"/>
        <v>-2273</v>
      </c>
      <c r="AL10" s="58">
        <f t="shared" si="12"/>
        <v>-2454</v>
      </c>
      <c r="AM10" s="58">
        <f t="shared" si="12"/>
        <v>-3877</v>
      </c>
      <c r="AN10" s="59">
        <f t="shared" si="12"/>
        <v>-1761</v>
      </c>
    </row>
    <row r="11" spans="2:40" s="10" customFormat="1" ht="9" customHeight="1" x14ac:dyDescent="0.25">
      <c r="D11" s="3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43"/>
      <c r="R11" s="43"/>
      <c r="S11" s="43"/>
      <c r="T11" s="43"/>
      <c r="U11" s="43"/>
      <c r="V11" s="43"/>
      <c r="W11" s="43"/>
      <c r="X11" s="63"/>
      <c r="Y11" s="13"/>
      <c r="Z11" s="62"/>
      <c r="AA11" s="62"/>
      <c r="AB11" s="62"/>
      <c r="AC11" s="62"/>
      <c r="AD11" s="62"/>
      <c r="AE11" s="62"/>
      <c r="AF11" s="62"/>
      <c r="AG11" s="62"/>
    </row>
    <row r="12" spans="2:40" s="10" customFormat="1" x14ac:dyDescent="0.2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87"/>
      <c r="R12" s="87"/>
      <c r="S12" s="87"/>
      <c r="T12" s="87"/>
      <c r="U12" s="87"/>
      <c r="V12" s="87"/>
      <c r="W12" s="87"/>
      <c r="X12" s="27" t="s">
        <v>29</v>
      </c>
      <c r="Y12" s="13"/>
      <c r="Z12" s="52"/>
      <c r="AA12" s="52"/>
      <c r="AB12" s="52"/>
      <c r="AC12" s="52"/>
      <c r="AD12" s="52"/>
      <c r="AE12" s="52"/>
      <c r="AF12" s="52"/>
      <c r="AG12" s="52"/>
      <c r="AJ12" s="27"/>
      <c r="AL12" s="27"/>
      <c r="AM12" s="27"/>
      <c r="AN12" s="27" t="s">
        <v>29</v>
      </c>
    </row>
    <row r="13" spans="2:40" s="10" customFormat="1" x14ac:dyDescent="0.25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87"/>
      <c r="R13" s="87"/>
      <c r="S13" s="87"/>
      <c r="T13" s="87"/>
      <c r="U13" s="87"/>
      <c r="V13" s="87"/>
      <c r="W13" s="87"/>
      <c r="X13" s="52"/>
      <c r="Y13" s="13"/>
      <c r="Z13" s="52"/>
      <c r="AA13" s="52"/>
      <c r="AB13" s="52"/>
      <c r="AC13" s="52"/>
      <c r="AD13" s="52"/>
      <c r="AE13" s="52"/>
      <c r="AF13" s="52"/>
      <c r="AG13" s="52"/>
    </row>
    <row r="14" spans="2:40" s="10" customFormat="1" x14ac:dyDescent="0.25">
      <c r="D14" s="3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43"/>
      <c r="R14" s="43"/>
      <c r="S14" s="43"/>
      <c r="T14" s="43"/>
      <c r="U14" s="43"/>
      <c r="V14" s="43"/>
      <c r="W14" s="43"/>
      <c r="X14" s="63"/>
      <c r="Y14" s="13"/>
      <c r="Z14" s="62"/>
      <c r="AA14" s="62"/>
      <c r="AB14" s="62"/>
      <c r="AC14" s="62"/>
      <c r="AD14" s="62"/>
      <c r="AE14" s="62"/>
      <c r="AF14" s="62"/>
      <c r="AG14" s="62"/>
    </row>
    <row r="15" spans="2:40" s="10" customFormat="1" ht="15" thickBot="1" x14ac:dyDescent="0.3">
      <c r="D15" s="23"/>
      <c r="E15" s="45" t="s">
        <v>6</v>
      </c>
      <c r="F15" s="45" t="s">
        <v>115</v>
      </c>
      <c r="G15" s="45" t="s">
        <v>3</v>
      </c>
      <c r="H15" s="45" t="s">
        <v>116</v>
      </c>
      <c r="I15" s="45" t="s">
        <v>117</v>
      </c>
      <c r="J15" s="45" t="s">
        <v>4</v>
      </c>
      <c r="K15" s="45" t="s">
        <v>118</v>
      </c>
      <c r="L15" s="45" t="s">
        <v>119</v>
      </c>
      <c r="M15" s="45" t="s">
        <v>120</v>
      </c>
      <c r="N15" s="45" t="s">
        <v>14</v>
      </c>
      <c r="O15" s="45" t="s">
        <v>121</v>
      </c>
      <c r="P15" s="45" t="s">
        <v>122</v>
      </c>
      <c r="Q15" s="45" t="s">
        <v>123</v>
      </c>
      <c r="R15" s="45" t="s">
        <v>16</v>
      </c>
      <c r="S15" s="45" t="s">
        <v>17</v>
      </c>
      <c r="T15" s="45" t="s">
        <v>88</v>
      </c>
      <c r="U15" s="45" t="s">
        <v>92</v>
      </c>
      <c r="V15" s="45" t="s">
        <v>95</v>
      </c>
      <c r="W15" s="74" t="s">
        <v>193</v>
      </c>
      <c r="X15" s="105" t="s">
        <v>2</v>
      </c>
      <c r="Y15" s="13"/>
      <c r="Z15" s="45" t="s">
        <v>124</v>
      </c>
      <c r="AA15" s="45" t="s">
        <v>125</v>
      </c>
      <c r="AB15" s="45" t="s">
        <v>126</v>
      </c>
      <c r="AC15" s="45" t="s">
        <v>127</v>
      </c>
      <c r="AD15" s="45" t="s">
        <v>128</v>
      </c>
      <c r="AE15" s="45" t="s">
        <v>129</v>
      </c>
      <c r="AF15" s="45" t="s">
        <v>130</v>
      </c>
      <c r="AG15" s="45" t="s">
        <v>131</v>
      </c>
      <c r="AH15" s="45" t="s">
        <v>132</v>
      </c>
      <c r="AI15" s="45" t="s">
        <v>133</v>
      </c>
      <c r="AJ15" s="45" t="s">
        <v>41</v>
      </c>
      <c r="AK15" s="45" t="s">
        <v>89</v>
      </c>
      <c r="AL15" s="45" t="s">
        <v>93</v>
      </c>
      <c r="AM15" s="45" t="s">
        <v>94</v>
      </c>
      <c r="AN15" s="74" t="s">
        <v>194</v>
      </c>
    </row>
    <row r="16" spans="2:40" s="10" customFormat="1" x14ac:dyDescent="0.25">
      <c r="D16" s="46" t="s">
        <v>39</v>
      </c>
      <c r="E16" s="47">
        <f>-E7/E6</f>
        <v>1.3348858872845832</v>
      </c>
      <c r="F16" s="47">
        <f>-F7/F6</f>
        <v>1.1539244024667075</v>
      </c>
      <c r="G16" s="47">
        <f>-G7/G6</f>
        <v>10.502673796791443</v>
      </c>
      <c r="H16" s="47">
        <f t="shared" ref="H16:P16" si="13">-H7/H6</f>
        <v>1.0763561924257932</v>
      </c>
      <c r="I16" s="47">
        <f t="shared" si="13"/>
        <v>1.0371116968182392</v>
      </c>
      <c r="J16" s="47">
        <f t="shared" si="13"/>
        <v>0.89118136439267892</v>
      </c>
      <c r="K16" s="47">
        <f t="shared" si="13"/>
        <v>1.0317408376963351</v>
      </c>
      <c r="L16" s="47">
        <f t="shared" si="13"/>
        <v>1.0529801324503312</v>
      </c>
      <c r="M16" s="47">
        <f t="shared" si="13"/>
        <v>0.98689759742035432</v>
      </c>
      <c r="N16" s="47">
        <f t="shared" si="13"/>
        <v>0.86449502703424341</v>
      </c>
      <c r="O16" s="47">
        <f t="shared" si="13"/>
        <v>1.0119872136387853</v>
      </c>
      <c r="P16" s="47">
        <f t="shared" si="13"/>
        <v>0.98948751642575561</v>
      </c>
      <c r="Q16" s="47">
        <f t="shared" ref="Q16:V16" si="14">-Q7/Q6</f>
        <v>0.91007256392536284</v>
      </c>
      <c r="R16" s="47">
        <f t="shared" si="14"/>
        <v>0.86767646167827928</v>
      </c>
      <c r="S16" s="47">
        <f t="shared" si="14"/>
        <v>0.95102448775612192</v>
      </c>
      <c r="T16" s="47">
        <f t="shared" si="14"/>
        <v>0.93661622426196978</v>
      </c>
      <c r="U16" s="47">
        <f t="shared" si="14"/>
        <v>0.88290724352671257</v>
      </c>
      <c r="V16" s="47">
        <f t="shared" si="14"/>
        <v>0.89767153058056504</v>
      </c>
      <c r="W16" s="48">
        <f t="shared" ref="W16" si="15">-W7/W6</f>
        <v>0.88266604952557282</v>
      </c>
      <c r="X16" s="69">
        <f>(W16-S16)*100</f>
        <v>-6.8358438230549101</v>
      </c>
      <c r="Y16" s="13"/>
      <c r="Z16" s="47">
        <f t="shared" ref="Z16" si="16">-Z7/Z6</f>
        <v>0.96591350455535263</v>
      </c>
      <c r="AA16" s="47">
        <f>-AA7/AA6</f>
        <v>0.64226009777388748</v>
      </c>
      <c r="AB16" s="47">
        <f t="shared" ref="AB16:AL16" si="17">-AB7/AB6</f>
        <v>1.0317408376963351</v>
      </c>
      <c r="AC16" s="47">
        <f t="shared" si="17"/>
        <v>1.0727328058429701</v>
      </c>
      <c r="AD16" s="47">
        <f t="shared" si="17"/>
        <v>0.86779007980625744</v>
      </c>
      <c r="AE16" s="47">
        <f t="shared" si="17"/>
        <v>0.62877633560733215</v>
      </c>
      <c r="AF16" s="47">
        <f t="shared" si="17"/>
        <v>1.0119872136387853</v>
      </c>
      <c r="AG16" s="47">
        <f t="shared" si="17"/>
        <v>0.96758298755186722</v>
      </c>
      <c r="AH16" s="47">
        <f t="shared" si="17"/>
        <v>0.75769036812909729</v>
      </c>
      <c r="AI16" s="47">
        <f t="shared" si="17"/>
        <v>0.76810712111990265</v>
      </c>
      <c r="AJ16" s="47">
        <f t="shared" si="17"/>
        <v>0.95102448775612192</v>
      </c>
      <c r="AK16" s="47">
        <f t="shared" si="17"/>
        <v>0.92241379310344829</v>
      </c>
      <c r="AL16" s="47">
        <f t="shared" si="17"/>
        <v>0.7783679381941091</v>
      </c>
      <c r="AM16" s="47">
        <f t="shared" ref="AM16:AN16" si="18">-AM7/AM6</f>
        <v>0.94386054857728785</v>
      </c>
      <c r="AN16" s="48">
        <f t="shared" si="18"/>
        <v>0.88266604952557282</v>
      </c>
    </row>
    <row r="17" spans="4:40" s="10" customFormat="1" ht="15" thickBot="1" x14ac:dyDescent="0.3">
      <c r="D17" s="46" t="s">
        <v>40</v>
      </c>
      <c r="E17" s="47">
        <f>-(E8+E9)/E6</f>
        <v>2.9450395901257567</v>
      </c>
      <c r="F17" s="47">
        <f>-(F8+F9)/F6</f>
        <v>1.1549231150418482</v>
      </c>
      <c r="G17" s="47">
        <f>-(G8+G9)/G6</f>
        <v>12.350267379679144</v>
      </c>
      <c r="H17" s="47">
        <f t="shared" ref="H17:Q17" si="19">-(H8+H9)/H6</f>
        <v>0.46816786079836231</v>
      </c>
      <c r="I17" s="47">
        <f t="shared" si="19"/>
        <v>0.62762204508585362</v>
      </c>
      <c r="J17" s="47">
        <f t="shared" si="19"/>
        <v>0.7652246256239601</v>
      </c>
      <c r="K17" s="47">
        <f t="shared" si="19"/>
        <v>2.0942408376963352E-2</v>
      </c>
      <c r="L17" s="47">
        <f t="shared" si="19"/>
        <v>0.42100283822138129</v>
      </c>
      <c r="M17" s="47">
        <f t="shared" si="19"/>
        <v>0.54139289983316363</v>
      </c>
      <c r="N17" s="47">
        <f t="shared" si="19"/>
        <v>0.61678125625792668</v>
      </c>
      <c r="O17" s="47">
        <f t="shared" si="19"/>
        <v>-3.1965903036760786E-2</v>
      </c>
      <c r="P17" s="47">
        <f t="shared" si="19"/>
        <v>0.32207621550591325</v>
      </c>
      <c r="Q17" s="47">
        <f t="shared" si="19"/>
        <v>0.49628541810642707</v>
      </c>
      <c r="R17" s="47">
        <f t="shared" ref="R17:W17" si="20">-(R8+R9)/R6</f>
        <v>0.57982429566797944</v>
      </c>
      <c r="S17" s="47">
        <f t="shared" si="20"/>
        <v>0.6451774112943528</v>
      </c>
      <c r="T17" s="47">
        <f t="shared" si="20"/>
        <v>0.64128007938476805</v>
      </c>
      <c r="U17" s="47">
        <f t="shared" si="20"/>
        <v>0.69993444772205837</v>
      </c>
      <c r="V17" s="47">
        <f t="shared" si="20"/>
        <v>0.78472524060850668</v>
      </c>
      <c r="W17" s="48">
        <f t="shared" si="20"/>
        <v>0.5248785003471419</v>
      </c>
      <c r="X17" s="69">
        <f>(W17-S17)*100</f>
        <v>-12.029891094721091</v>
      </c>
      <c r="Y17" s="13"/>
      <c r="Z17" s="47">
        <f t="shared" ref="Z17" si="21">-(Z8+Z9)/Z6</f>
        <v>0.91690719181194136</v>
      </c>
      <c r="AA17" s="47">
        <f>-(AA8+AA9)/AA6</f>
        <v>0.99994079510182987</v>
      </c>
      <c r="AB17" s="47">
        <f t="shared" ref="AB17:AL17" si="22">-(AB8+AB9)/AB6</f>
        <v>2.0942408376963352E-2</v>
      </c>
      <c r="AC17" s="47">
        <f t="shared" si="22"/>
        <v>0.79306147291539864</v>
      </c>
      <c r="AD17" s="47">
        <f t="shared" si="22"/>
        <v>0.75838459631519006</v>
      </c>
      <c r="AE17" s="47">
        <f t="shared" si="22"/>
        <v>0.76196157942610032</v>
      </c>
      <c r="AF17" s="47">
        <f t="shared" si="22"/>
        <v>-3.1965903036760786E-2</v>
      </c>
      <c r="AG17" s="47">
        <f t="shared" si="22"/>
        <v>0.66675311203319498</v>
      </c>
      <c r="AH17" s="47">
        <f t="shared" si="22"/>
        <v>0.83055975794251136</v>
      </c>
      <c r="AI17" s="47">
        <f t="shared" si="22"/>
        <v>0.77601947656725501</v>
      </c>
      <c r="AJ17" s="47">
        <f t="shared" si="22"/>
        <v>0.6451774112943528</v>
      </c>
      <c r="AK17" s="47">
        <f t="shared" si="22"/>
        <v>0.63743842364532022</v>
      </c>
      <c r="AL17" s="47">
        <f t="shared" si="22"/>
        <v>0.81409946885562534</v>
      </c>
      <c r="AM17" s="47">
        <f t="shared" ref="AM17:AN17" si="23">-(AM8+AM9)/AM6</f>
        <v>1.0499871827736478</v>
      </c>
      <c r="AN17" s="48">
        <f t="shared" si="23"/>
        <v>0.5248785003471419</v>
      </c>
    </row>
    <row r="18" spans="4:40" s="10" customFormat="1" ht="15" thickBot="1" x14ac:dyDescent="0.3">
      <c r="D18" s="40" t="s">
        <v>36</v>
      </c>
      <c r="E18" s="49">
        <f>-(E7+E8+E9)/E6</f>
        <v>4.2799254774103401</v>
      </c>
      <c r="F18" s="49">
        <f>-(F7+F8+F9)/F6</f>
        <v>2.3088475175085561</v>
      </c>
      <c r="G18" s="49">
        <f>-(G7+G8+G9)/G6</f>
        <v>22.852941176470587</v>
      </c>
      <c r="H18" s="49">
        <f t="shared" ref="H18:Q18" si="24">-(H7+H8+H9)/H6</f>
        <v>1.5445240532241555</v>
      </c>
      <c r="I18" s="49">
        <f t="shared" si="24"/>
        <v>1.6647337419040926</v>
      </c>
      <c r="J18" s="49">
        <f t="shared" si="24"/>
        <v>1.656405990016639</v>
      </c>
      <c r="K18" s="49">
        <f t="shared" si="24"/>
        <v>1.0526832460732984</v>
      </c>
      <c r="L18" s="49">
        <f t="shared" si="24"/>
        <v>1.4739829706717125</v>
      </c>
      <c r="M18" s="49">
        <f t="shared" si="24"/>
        <v>1.5282904972535178</v>
      </c>
      <c r="N18" s="49">
        <f t="shared" si="24"/>
        <v>1.48127628329217</v>
      </c>
      <c r="O18" s="49">
        <f t="shared" si="24"/>
        <v>0.98002131060202446</v>
      </c>
      <c r="P18" s="49">
        <f t="shared" si="24"/>
        <v>1.3115637319316689</v>
      </c>
      <c r="Q18" s="49">
        <f t="shared" si="24"/>
        <v>1.40635798203179</v>
      </c>
      <c r="R18" s="49">
        <f t="shared" ref="R18:W18" si="25">-(R7+R8+R9)/R6</f>
        <v>1.4475007573462586</v>
      </c>
      <c r="S18" s="49">
        <f t="shared" si="25"/>
        <v>1.5962018990504747</v>
      </c>
      <c r="T18" s="49">
        <f t="shared" si="25"/>
        <v>1.5778963036467377</v>
      </c>
      <c r="U18" s="49">
        <f t="shared" si="25"/>
        <v>1.5828416912487708</v>
      </c>
      <c r="V18" s="49">
        <f t="shared" si="25"/>
        <v>1.6823967711890717</v>
      </c>
      <c r="W18" s="50">
        <f t="shared" si="25"/>
        <v>1.4075445498727146</v>
      </c>
      <c r="X18" s="89">
        <f>(W18-S18)*100</f>
        <v>-18.86573491777601</v>
      </c>
      <c r="Y18" s="13"/>
      <c r="Z18" s="49">
        <f t="shared" ref="Z18" si="26">-(Z7+Z8+Z9)/Z6</f>
        <v>1.882820696367294</v>
      </c>
      <c r="AA18" s="49">
        <f>-(AA7+AA8+AA9)/AA6</f>
        <v>1.6422008928757172</v>
      </c>
      <c r="AB18" s="49">
        <f t="shared" ref="AB18:AL18" si="27">-(AB7+AB8+AB9)/AB6</f>
        <v>1.0526832460732984</v>
      </c>
      <c r="AC18" s="49">
        <f t="shared" si="27"/>
        <v>1.8657942787583688</v>
      </c>
      <c r="AD18" s="49">
        <f t="shared" si="27"/>
        <v>1.6261746761214475</v>
      </c>
      <c r="AE18" s="49">
        <f t="shared" si="27"/>
        <v>1.3907379150334325</v>
      </c>
      <c r="AF18" s="49">
        <f t="shared" si="27"/>
        <v>0.98002131060202446</v>
      </c>
      <c r="AG18" s="49">
        <f t="shared" si="27"/>
        <v>1.6343360995850622</v>
      </c>
      <c r="AH18" s="49">
        <f t="shared" si="27"/>
        <v>1.5882501260716086</v>
      </c>
      <c r="AI18" s="49">
        <f t="shared" si="27"/>
        <v>1.5441265976871577</v>
      </c>
      <c r="AJ18" s="49">
        <f t="shared" si="27"/>
        <v>1.5962018990504747</v>
      </c>
      <c r="AK18" s="49">
        <f t="shared" si="27"/>
        <v>1.5598522167487685</v>
      </c>
      <c r="AL18" s="49">
        <f t="shared" si="27"/>
        <v>1.5924674070497344</v>
      </c>
      <c r="AM18" s="49">
        <f t="shared" ref="AM18:AN18" si="28">-(AM7+AM8+AM9)/AM6</f>
        <v>1.9938477313509357</v>
      </c>
      <c r="AN18" s="50">
        <f t="shared" si="28"/>
        <v>1.4075445498727146</v>
      </c>
    </row>
    <row r="19" spans="4:40" s="10" customFormat="1" x14ac:dyDescent="0.25">
      <c r="D19" s="3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3"/>
      <c r="X19" s="63"/>
      <c r="Y19" s="43"/>
    </row>
    <row r="20" spans="4:40" s="10" customFormat="1" x14ac:dyDescent="0.25">
      <c r="W20" s="96"/>
      <c r="X20" s="96"/>
      <c r="Y20" s="87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ignoredErrors>
    <ignoredError sqref="E10:W10" formulaRange="1"/>
    <ignoredError sqref="AB5:AM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N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19" width="11" style="73" customWidth="1"/>
    <col min="20" max="21" width="11" style="73" hidden="1" customWidth="1" outlineLevel="1"/>
    <col min="22" max="22" width="11" style="73" customWidth="1" collapsed="1"/>
    <col min="23" max="24" width="11" style="73" customWidth="1"/>
    <col min="25" max="25" width="3" style="13" customWidth="1"/>
    <col min="26" max="16384" width="10.85546875" style="73"/>
  </cols>
  <sheetData>
    <row r="1" spans="2:40" ht="16.5" customHeight="1" x14ac:dyDescent="0.2"/>
    <row r="2" spans="2:40" ht="18.75" customHeight="1" thickBot="1" x14ac:dyDescent="0.25">
      <c r="B2" s="11" t="s">
        <v>27</v>
      </c>
      <c r="D2" s="14" t="s">
        <v>148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14" t="s">
        <v>34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4" spans="2:40" s="10" customFormat="1" ht="15" thickBot="1" x14ac:dyDescent="0.3">
      <c r="D4" s="23"/>
      <c r="E4" s="45" t="s">
        <v>6</v>
      </c>
      <c r="F4" s="45" t="s">
        <v>115</v>
      </c>
      <c r="G4" s="45" t="s">
        <v>3</v>
      </c>
      <c r="H4" s="45" t="s">
        <v>116</v>
      </c>
      <c r="I4" s="45" t="s">
        <v>117</v>
      </c>
      <c r="J4" s="45" t="s">
        <v>4</v>
      </c>
      <c r="K4" s="45" t="s">
        <v>118</v>
      </c>
      <c r="L4" s="45" t="s">
        <v>119</v>
      </c>
      <c r="M4" s="45" t="s">
        <v>120</v>
      </c>
      <c r="N4" s="45" t="s">
        <v>14</v>
      </c>
      <c r="O4" s="45" t="s">
        <v>121</v>
      </c>
      <c r="P4" s="45" t="s">
        <v>122</v>
      </c>
      <c r="Q4" s="45" t="s">
        <v>123</v>
      </c>
      <c r="R4" s="45" t="s">
        <v>16</v>
      </c>
      <c r="S4" s="45" t="s">
        <v>17</v>
      </c>
      <c r="T4" s="45" t="s">
        <v>88</v>
      </c>
      <c r="U4" s="45" t="s">
        <v>92</v>
      </c>
      <c r="V4" s="45" t="s">
        <v>95</v>
      </c>
      <c r="W4" s="74" t="s">
        <v>193</v>
      </c>
      <c r="X4" s="75" t="s">
        <v>0</v>
      </c>
      <c r="Y4" s="13"/>
      <c r="Z4" s="45" t="s">
        <v>124</v>
      </c>
      <c r="AA4" s="45" t="s">
        <v>125</v>
      </c>
      <c r="AB4" s="45" t="s">
        <v>126</v>
      </c>
      <c r="AC4" s="45" t="s">
        <v>127</v>
      </c>
      <c r="AD4" s="45" t="s">
        <v>128</v>
      </c>
      <c r="AE4" s="45" t="s">
        <v>129</v>
      </c>
      <c r="AF4" s="45" t="s">
        <v>130</v>
      </c>
      <c r="AG4" s="45" t="s">
        <v>131</v>
      </c>
      <c r="AH4" s="45" t="s">
        <v>132</v>
      </c>
      <c r="AI4" s="45" t="s">
        <v>133</v>
      </c>
      <c r="AJ4" s="45" t="s">
        <v>41</v>
      </c>
      <c r="AK4" s="45" t="s">
        <v>89</v>
      </c>
      <c r="AL4" s="45" t="s">
        <v>93</v>
      </c>
      <c r="AM4" s="45" t="s">
        <v>94</v>
      </c>
      <c r="AN4" s="74" t="s">
        <v>194</v>
      </c>
    </row>
    <row r="5" spans="2:40" s="10" customFormat="1" x14ac:dyDescent="0.25">
      <c r="D5" s="31" t="s">
        <v>96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7">
        <v>799</v>
      </c>
      <c r="X5" s="78">
        <f>+W5/S5-1</f>
        <v>7.8272604588394135E-2</v>
      </c>
      <c r="Y5" s="13"/>
      <c r="Z5" s="76">
        <f>I5-H5</f>
        <v>2.5858000000000629</v>
      </c>
      <c r="AA5" s="76">
        <f>J5-I5</f>
        <v>19.42870999999991</v>
      </c>
      <c r="AB5" s="76">
        <f t="shared" ref="AB5:AB9" si="0">K5</f>
        <v>1349</v>
      </c>
      <c r="AC5" s="76">
        <f t="shared" ref="AC5:AE10" si="1">L5-K5</f>
        <v>14</v>
      </c>
      <c r="AD5" s="76">
        <f t="shared" si="1"/>
        <v>16.129040000000032</v>
      </c>
      <c r="AE5" s="76">
        <f t="shared" si="1"/>
        <v>17.870959999999968</v>
      </c>
      <c r="AF5" s="76">
        <f t="shared" ref="AF5:AF9" si="2">O5</f>
        <v>1061</v>
      </c>
      <c r="AG5" s="76">
        <f t="shared" ref="AG5:AI10" si="3">P5-O5</f>
        <v>7</v>
      </c>
      <c r="AH5" s="76">
        <f t="shared" si="3"/>
        <v>14</v>
      </c>
      <c r="AI5" s="76">
        <f t="shared" si="3"/>
        <v>15</v>
      </c>
      <c r="AJ5" s="76">
        <f t="shared" ref="AJ5:AJ10" si="4">S5</f>
        <v>741</v>
      </c>
      <c r="AK5" s="76">
        <f t="shared" ref="AK5:AM10" si="5">T5-S5</f>
        <v>13</v>
      </c>
      <c r="AL5" s="76">
        <f t="shared" si="5"/>
        <v>13</v>
      </c>
      <c r="AM5" s="76">
        <f t="shared" si="5"/>
        <v>16</v>
      </c>
      <c r="AN5" s="77">
        <f t="shared" ref="AN5:AN10" si="6">W5</f>
        <v>799</v>
      </c>
    </row>
    <row r="6" spans="2:40" s="10" customFormat="1" x14ac:dyDescent="0.25">
      <c r="D6" s="31" t="s">
        <v>134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7">
        <v>189</v>
      </c>
      <c r="X6" s="78">
        <f>+W6/S6-1</f>
        <v>-0.19230769230769229</v>
      </c>
      <c r="Y6" s="13"/>
      <c r="Z6" s="76">
        <f>I6-H6</f>
        <v>418.30776000000151</v>
      </c>
      <c r="AA6" s="76">
        <f t="shared" ref="AA6:AA10" si="7">J6-I6</f>
        <v>511.49907999999891</v>
      </c>
      <c r="AB6" s="76">
        <f t="shared" si="0"/>
        <v>324</v>
      </c>
      <c r="AC6" s="76">
        <f t="shared" si="1"/>
        <v>355</v>
      </c>
      <c r="AD6" s="76">
        <f t="shared" si="1"/>
        <v>353.80626999999913</v>
      </c>
      <c r="AE6" s="76">
        <f t="shared" si="1"/>
        <v>355.19373000000087</v>
      </c>
      <c r="AF6" s="76">
        <f t="shared" si="2"/>
        <v>481</v>
      </c>
      <c r="AG6" s="76">
        <f t="shared" si="3"/>
        <v>256</v>
      </c>
      <c r="AH6" s="76">
        <f t="shared" si="3"/>
        <v>164</v>
      </c>
      <c r="AI6" s="76">
        <f t="shared" si="3"/>
        <v>164</v>
      </c>
      <c r="AJ6" s="76">
        <f t="shared" si="4"/>
        <v>234</v>
      </c>
      <c r="AK6" s="76">
        <f t="shared" si="5"/>
        <v>178</v>
      </c>
      <c r="AL6" s="76">
        <f t="shared" si="5"/>
        <v>180</v>
      </c>
      <c r="AM6" s="76">
        <f t="shared" si="5"/>
        <v>181</v>
      </c>
      <c r="AN6" s="77">
        <f t="shared" si="6"/>
        <v>189</v>
      </c>
    </row>
    <row r="7" spans="2:40" s="10" customFormat="1" x14ac:dyDescent="0.25">
      <c r="D7" s="46" t="s">
        <v>37</v>
      </c>
      <c r="E7" s="55">
        <v>-223</v>
      </c>
      <c r="F7" s="55">
        <v>-236.41472000000036</v>
      </c>
      <c r="G7" s="55">
        <v>-328</v>
      </c>
      <c r="H7" s="55">
        <v>-326.50592000000017</v>
      </c>
      <c r="I7" s="55">
        <v>-416.03276999999957</v>
      </c>
      <c r="J7" s="55">
        <v>-292</v>
      </c>
      <c r="K7" s="55">
        <v>-38</v>
      </c>
      <c r="L7" s="55">
        <v>-32</v>
      </c>
      <c r="M7" s="55">
        <v>-37.001470000000211</v>
      </c>
      <c r="N7" s="55">
        <v>0</v>
      </c>
      <c r="O7" s="55">
        <v>-49</v>
      </c>
      <c r="P7" s="55">
        <v>-21</v>
      </c>
      <c r="Q7" s="55">
        <v>-36</v>
      </c>
      <c r="R7" s="55">
        <v>-10</v>
      </c>
      <c r="S7" s="55">
        <v>-19</v>
      </c>
      <c r="T7" s="55">
        <v>-43</v>
      </c>
      <c r="U7" s="55">
        <v>-77</v>
      </c>
      <c r="V7" s="55">
        <v>-84</v>
      </c>
      <c r="W7" s="56">
        <v>-17</v>
      </c>
      <c r="X7" s="81">
        <f>+W7/S7-1</f>
        <v>-0.10526315789473684</v>
      </c>
      <c r="Y7" s="13"/>
      <c r="Z7" s="55">
        <f>I7-H7</f>
        <v>-89.526849999999399</v>
      </c>
      <c r="AA7" s="55">
        <f t="shared" si="7"/>
        <v>124.03276999999957</v>
      </c>
      <c r="AB7" s="55">
        <f t="shared" si="0"/>
        <v>-38</v>
      </c>
      <c r="AC7" s="55">
        <f t="shared" si="1"/>
        <v>6</v>
      </c>
      <c r="AD7" s="55">
        <f t="shared" si="1"/>
        <v>-5.0014700000002108</v>
      </c>
      <c r="AE7" s="55">
        <f t="shared" si="1"/>
        <v>37.001470000000211</v>
      </c>
      <c r="AF7" s="55">
        <f t="shared" si="2"/>
        <v>-49</v>
      </c>
      <c r="AG7" s="55">
        <f t="shared" si="3"/>
        <v>28</v>
      </c>
      <c r="AH7" s="55">
        <f t="shared" si="3"/>
        <v>-15</v>
      </c>
      <c r="AI7" s="55">
        <f t="shared" si="3"/>
        <v>26</v>
      </c>
      <c r="AJ7" s="55">
        <f t="shared" si="4"/>
        <v>-19</v>
      </c>
      <c r="AK7" s="55">
        <f t="shared" si="5"/>
        <v>-24</v>
      </c>
      <c r="AL7" s="55">
        <f t="shared" si="5"/>
        <v>-34</v>
      </c>
      <c r="AM7" s="55">
        <f t="shared" si="5"/>
        <v>-7</v>
      </c>
      <c r="AN7" s="56">
        <f t="shared" si="6"/>
        <v>-17</v>
      </c>
    </row>
    <row r="8" spans="2:40" s="10" customFormat="1" x14ac:dyDescent="0.25">
      <c r="D8" s="46" t="s">
        <v>149</v>
      </c>
      <c r="E8" s="55">
        <v>-751</v>
      </c>
      <c r="F8" s="55">
        <v>-536.81047999999998</v>
      </c>
      <c r="G8" s="55">
        <v>-724</v>
      </c>
      <c r="H8" s="55">
        <v>-416.92200000000003</v>
      </c>
      <c r="I8" s="55">
        <v>-499.85578000000004</v>
      </c>
      <c r="J8" s="55">
        <v>-708</v>
      </c>
      <c r="K8" s="55">
        <v>-184</v>
      </c>
      <c r="L8" s="55">
        <v>-172</v>
      </c>
      <c r="M8" s="55">
        <v>-386.88099</v>
      </c>
      <c r="N8" s="55">
        <v>-594</v>
      </c>
      <c r="O8" s="55">
        <v>-118</v>
      </c>
      <c r="P8" s="55">
        <v>-235</v>
      </c>
      <c r="Q8" s="55">
        <v>-353</v>
      </c>
      <c r="R8" s="55">
        <v>-637</v>
      </c>
      <c r="S8" s="55">
        <v>-76</v>
      </c>
      <c r="T8" s="55">
        <v>-151</v>
      </c>
      <c r="U8" s="55">
        <v>-227</v>
      </c>
      <c r="V8" s="55">
        <v>-393</v>
      </c>
      <c r="W8" s="56">
        <v>-94</v>
      </c>
      <c r="X8" s="81">
        <f>+W8/S8-1</f>
        <v>0.23684210526315796</v>
      </c>
      <c r="Y8" s="13"/>
      <c r="Z8" s="55">
        <f>I8-H8</f>
        <v>-82.933780000000013</v>
      </c>
      <c r="AA8" s="55">
        <f t="shared" si="7"/>
        <v>-208.14421999999996</v>
      </c>
      <c r="AB8" s="55">
        <f t="shared" si="0"/>
        <v>-184</v>
      </c>
      <c r="AC8" s="55">
        <f t="shared" si="1"/>
        <v>12</v>
      </c>
      <c r="AD8" s="55">
        <f t="shared" si="1"/>
        <v>-214.88099</v>
      </c>
      <c r="AE8" s="55">
        <f t="shared" si="1"/>
        <v>-207.11901</v>
      </c>
      <c r="AF8" s="55">
        <f t="shared" si="2"/>
        <v>-118</v>
      </c>
      <c r="AG8" s="55">
        <f t="shared" si="3"/>
        <v>-117</v>
      </c>
      <c r="AH8" s="55">
        <f t="shared" si="3"/>
        <v>-118</v>
      </c>
      <c r="AI8" s="55">
        <f t="shared" si="3"/>
        <v>-284</v>
      </c>
      <c r="AJ8" s="55">
        <f t="shared" si="4"/>
        <v>-76</v>
      </c>
      <c r="AK8" s="55">
        <f t="shared" si="5"/>
        <v>-75</v>
      </c>
      <c r="AL8" s="55">
        <f t="shared" si="5"/>
        <v>-76</v>
      </c>
      <c r="AM8" s="55">
        <f t="shared" si="5"/>
        <v>-166</v>
      </c>
      <c r="AN8" s="56">
        <f t="shared" si="6"/>
        <v>-94</v>
      </c>
    </row>
    <row r="9" spans="2:40" s="10" customFormat="1" x14ac:dyDescent="0.25">
      <c r="D9" s="46" t="s">
        <v>38</v>
      </c>
      <c r="E9" s="55">
        <v>-1055</v>
      </c>
      <c r="F9" s="55">
        <v>-546.89414447900003</v>
      </c>
      <c r="G9" s="55">
        <v>-877</v>
      </c>
      <c r="H9" s="55">
        <v>-84.976086649599992</v>
      </c>
      <c r="I9" s="55">
        <v>-199.36252122880001</v>
      </c>
      <c r="J9" s="55">
        <v>-342</v>
      </c>
      <c r="K9" s="55">
        <v>-8</v>
      </c>
      <c r="L9" s="55">
        <v>-10</v>
      </c>
      <c r="M9" s="55">
        <v>-12.3646754888</v>
      </c>
      <c r="N9" s="55">
        <v>-113</v>
      </c>
      <c r="O9" s="55">
        <v>-50</v>
      </c>
      <c r="P9" s="55">
        <v>-76</v>
      </c>
      <c r="Q9" s="55">
        <v>-64</v>
      </c>
      <c r="R9" s="55">
        <v>-66</v>
      </c>
      <c r="S9" s="55">
        <v>-36</v>
      </c>
      <c r="T9" s="55">
        <v>-43</v>
      </c>
      <c r="U9" s="55">
        <v>-57</v>
      </c>
      <c r="V9" s="55">
        <v>-58</v>
      </c>
      <c r="W9" s="56">
        <v>-137</v>
      </c>
      <c r="X9" s="81">
        <f>+W9/S9-1</f>
        <v>2.8055555555555554</v>
      </c>
      <c r="Y9" s="13"/>
      <c r="Z9" s="55">
        <f>I9-H9</f>
        <v>-114.38643457920001</v>
      </c>
      <c r="AA9" s="55">
        <f t="shared" si="7"/>
        <v>-142.63747877119999</v>
      </c>
      <c r="AB9" s="55">
        <f t="shared" si="0"/>
        <v>-8</v>
      </c>
      <c r="AC9" s="55">
        <f t="shared" si="1"/>
        <v>-2</v>
      </c>
      <c r="AD9" s="55">
        <f t="shared" si="1"/>
        <v>-2.3646754887999997</v>
      </c>
      <c r="AE9" s="55">
        <f t="shared" si="1"/>
        <v>-100.6353245112</v>
      </c>
      <c r="AF9" s="55">
        <f t="shared" si="2"/>
        <v>-50</v>
      </c>
      <c r="AG9" s="55">
        <f t="shared" si="3"/>
        <v>-26</v>
      </c>
      <c r="AH9" s="55">
        <f t="shared" si="3"/>
        <v>12</v>
      </c>
      <c r="AI9" s="55">
        <f t="shared" si="3"/>
        <v>-2</v>
      </c>
      <c r="AJ9" s="55">
        <f t="shared" si="4"/>
        <v>-36</v>
      </c>
      <c r="AK9" s="55">
        <f t="shared" si="5"/>
        <v>-7</v>
      </c>
      <c r="AL9" s="55">
        <f t="shared" si="5"/>
        <v>-14</v>
      </c>
      <c r="AM9" s="55">
        <f t="shared" si="5"/>
        <v>-1</v>
      </c>
      <c r="AN9" s="56">
        <f t="shared" si="6"/>
        <v>-137</v>
      </c>
    </row>
    <row r="10" spans="2:40" s="10" customFormat="1" ht="15" thickBot="1" x14ac:dyDescent="0.3">
      <c r="D10" s="46" t="s">
        <v>135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6">
        <v>0</v>
      </c>
      <c r="X10" s="81" t="s">
        <v>7</v>
      </c>
      <c r="Y10" s="13"/>
      <c r="Z10" s="55">
        <f>I10-H10</f>
        <v>0</v>
      </c>
      <c r="AA10" s="55">
        <f t="shared" si="7"/>
        <v>0</v>
      </c>
      <c r="AB10" s="55">
        <f>K10</f>
        <v>0</v>
      </c>
      <c r="AC10" s="55">
        <f t="shared" si="1"/>
        <v>0</v>
      </c>
      <c r="AD10" s="55">
        <f t="shared" si="1"/>
        <v>0</v>
      </c>
      <c r="AE10" s="55">
        <f t="shared" si="1"/>
        <v>0</v>
      </c>
      <c r="AF10" s="55">
        <f>O10</f>
        <v>0</v>
      </c>
      <c r="AG10" s="55">
        <f t="shared" si="3"/>
        <v>0</v>
      </c>
      <c r="AH10" s="55">
        <f t="shared" si="3"/>
        <v>0</v>
      </c>
      <c r="AI10" s="55">
        <f t="shared" si="3"/>
        <v>0</v>
      </c>
      <c r="AJ10" s="55">
        <f t="shared" si="4"/>
        <v>0</v>
      </c>
      <c r="AK10" s="55">
        <f t="shared" si="5"/>
        <v>0</v>
      </c>
      <c r="AL10" s="55">
        <f t="shared" si="5"/>
        <v>0</v>
      </c>
      <c r="AM10" s="55">
        <f t="shared" si="5"/>
        <v>0</v>
      </c>
      <c r="AN10" s="56">
        <f t="shared" si="6"/>
        <v>0</v>
      </c>
    </row>
    <row r="11" spans="2:40" s="10" customFormat="1" ht="15" thickBot="1" x14ac:dyDescent="0.3">
      <c r="D11" s="40" t="s">
        <v>35</v>
      </c>
      <c r="E11" s="58">
        <f>SUM(E6:E10)</f>
        <v>1186</v>
      </c>
      <c r="F11" s="58">
        <f>SUM(F6:F10)</f>
        <v>1003.9744355210007</v>
      </c>
      <c r="G11" s="58">
        <f>SUM(G6:G10)</f>
        <v>1116</v>
      </c>
      <c r="H11" s="58">
        <f t="shared" ref="H11:S11" si="8">SUM(H6:H10)</f>
        <v>247.78915335039915</v>
      </c>
      <c r="I11" s="58">
        <f t="shared" si="8"/>
        <v>379.24984877120119</v>
      </c>
      <c r="J11" s="58">
        <f t="shared" si="8"/>
        <v>663.99999999999977</v>
      </c>
      <c r="K11" s="58">
        <f t="shared" si="8"/>
        <v>94</v>
      </c>
      <c r="L11" s="58">
        <f t="shared" si="8"/>
        <v>465</v>
      </c>
      <c r="M11" s="58">
        <f t="shared" si="8"/>
        <v>596.55913451119898</v>
      </c>
      <c r="N11" s="58">
        <f t="shared" si="8"/>
        <v>681</v>
      </c>
      <c r="O11" s="58">
        <f t="shared" si="8"/>
        <v>264</v>
      </c>
      <c r="P11" s="58">
        <f t="shared" si="8"/>
        <v>405</v>
      </c>
      <c r="Q11" s="58">
        <f t="shared" si="8"/>
        <v>448</v>
      </c>
      <c r="R11" s="58">
        <f t="shared" si="8"/>
        <v>352</v>
      </c>
      <c r="S11" s="58">
        <f t="shared" si="8"/>
        <v>103</v>
      </c>
      <c r="T11" s="58">
        <f>SUM(T6:T10)</f>
        <v>175</v>
      </c>
      <c r="U11" s="58">
        <f>SUM(U6:U10)</f>
        <v>231</v>
      </c>
      <c r="V11" s="58">
        <f>SUM(V6:V10)</f>
        <v>238</v>
      </c>
      <c r="W11" s="59">
        <f>SUM(W6:W10)</f>
        <v>-59</v>
      </c>
      <c r="X11" s="101">
        <f>+W11/S11-1</f>
        <v>-1.5728155339805825</v>
      </c>
      <c r="Y11" s="13"/>
      <c r="Z11" s="58">
        <f t="shared" ref="Z11:AC11" si="9">SUM(Z6:Z10)</f>
        <v>131.4606954208021</v>
      </c>
      <c r="AA11" s="58">
        <f t="shared" si="9"/>
        <v>284.75015122879853</v>
      </c>
      <c r="AB11" s="58">
        <f t="shared" si="9"/>
        <v>94</v>
      </c>
      <c r="AC11" s="58">
        <f t="shared" si="9"/>
        <v>371</v>
      </c>
      <c r="AD11" s="58">
        <f>SUM(AD6:AD10)</f>
        <v>131.55913451119892</v>
      </c>
      <c r="AE11" s="58">
        <f>SUM(AE6:AE10)</f>
        <v>84.44086548880108</v>
      </c>
      <c r="AF11" s="58">
        <f>SUM(AF6:AF10)</f>
        <v>264</v>
      </c>
      <c r="AG11" s="58">
        <f t="shared" ref="AG11:AH11" si="10">SUM(AG6:AG10)</f>
        <v>141</v>
      </c>
      <c r="AH11" s="58">
        <f t="shared" si="10"/>
        <v>43</v>
      </c>
      <c r="AI11" s="58">
        <f t="shared" ref="AI11:AN11" si="11">SUM(AI6:AI10)</f>
        <v>-96</v>
      </c>
      <c r="AJ11" s="58">
        <f t="shared" si="11"/>
        <v>103</v>
      </c>
      <c r="AK11" s="58">
        <f t="shared" si="11"/>
        <v>72</v>
      </c>
      <c r="AL11" s="58">
        <f t="shared" si="11"/>
        <v>56</v>
      </c>
      <c r="AM11" s="58">
        <f t="shared" si="11"/>
        <v>7</v>
      </c>
      <c r="AN11" s="59">
        <f t="shared" si="11"/>
        <v>-59</v>
      </c>
    </row>
    <row r="12" spans="2:40" s="10" customFormat="1" ht="9" customHeight="1" x14ac:dyDescent="0.25">
      <c r="D12" s="31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7"/>
      <c r="Y12" s="13"/>
    </row>
    <row r="13" spans="2:40" s="10" customFormat="1" x14ac:dyDescent="0.25">
      <c r="D13" s="52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27" t="s">
        <v>29</v>
      </c>
      <c r="Y13" s="13"/>
      <c r="AJ13" s="27"/>
      <c r="AK13" s="27"/>
      <c r="AL13" s="27"/>
      <c r="AM13" s="27"/>
      <c r="AN13" s="27" t="s">
        <v>29</v>
      </c>
    </row>
    <row r="14" spans="2:40" s="10" customFormat="1" x14ac:dyDescent="0.25">
      <c r="D14" s="52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13"/>
    </row>
    <row r="15" spans="2:40" s="10" customFormat="1" x14ac:dyDescent="0.25">
      <c r="D15" s="3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7"/>
      <c r="Y15" s="13"/>
    </row>
    <row r="16" spans="2:40" s="10" customFormat="1" ht="15" thickBot="1" x14ac:dyDescent="0.3">
      <c r="D16" s="23"/>
      <c r="E16" s="45" t="s">
        <v>6</v>
      </c>
      <c r="F16" s="45" t="s">
        <v>115</v>
      </c>
      <c r="G16" s="45" t="s">
        <v>3</v>
      </c>
      <c r="H16" s="45" t="s">
        <v>116</v>
      </c>
      <c r="I16" s="45" t="s">
        <v>117</v>
      </c>
      <c r="J16" s="45" t="s">
        <v>4</v>
      </c>
      <c r="K16" s="45" t="s">
        <v>118</v>
      </c>
      <c r="L16" s="45" t="s">
        <v>119</v>
      </c>
      <c r="M16" s="45" t="s">
        <v>120</v>
      </c>
      <c r="N16" s="45" t="s">
        <v>14</v>
      </c>
      <c r="O16" s="45" t="s">
        <v>121</v>
      </c>
      <c r="P16" s="45" t="s">
        <v>122</v>
      </c>
      <c r="Q16" s="45" t="s">
        <v>123</v>
      </c>
      <c r="R16" s="45" t="s">
        <v>16</v>
      </c>
      <c r="S16" s="45" t="s">
        <v>17</v>
      </c>
      <c r="T16" s="45" t="s">
        <v>88</v>
      </c>
      <c r="U16" s="45" t="s">
        <v>92</v>
      </c>
      <c r="V16" s="45" t="s">
        <v>95</v>
      </c>
      <c r="W16" s="74" t="s">
        <v>193</v>
      </c>
      <c r="X16" s="105" t="s">
        <v>2</v>
      </c>
      <c r="Y16" s="13"/>
      <c r="Z16" s="45" t="s">
        <v>124</v>
      </c>
      <c r="AA16" s="45" t="s">
        <v>125</v>
      </c>
      <c r="AB16" s="45" t="s">
        <v>126</v>
      </c>
      <c r="AC16" s="45" t="s">
        <v>127</v>
      </c>
      <c r="AD16" s="45" t="s">
        <v>128</v>
      </c>
      <c r="AE16" s="45" t="s">
        <v>129</v>
      </c>
      <c r="AF16" s="45" t="s">
        <v>130</v>
      </c>
      <c r="AG16" s="45" t="s">
        <v>131</v>
      </c>
      <c r="AH16" s="45" t="s">
        <v>132</v>
      </c>
      <c r="AI16" s="45" t="s">
        <v>133</v>
      </c>
      <c r="AJ16" s="45" t="s">
        <v>41</v>
      </c>
      <c r="AK16" s="45" t="s">
        <v>89</v>
      </c>
      <c r="AL16" s="45" t="s">
        <v>93</v>
      </c>
      <c r="AM16" s="45" t="s">
        <v>94</v>
      </c>
      <c r="AN16" s="74" t="s">
        <v>194</v>
      </c>
    </row>
    <row r="17" spans="4:40" s="10" customFormat="1" x14ac:dyDescent="0.25">
      <c r="D17" s="46" t="s">
        <v>39</v>
      </c>
      <c r="E17" s="47">
        <f>-E7/E6</f>
        <v>6.9362363919129089E-2</v>
      </c>
      <c r="F17" s="47">
        <f>-F7/F6</f>
        <v>0.10172339947486983</v>
      </c>
      <c r="G17" s="47">
        <f>-G7/G6</f>
        <v>0.10771756978653531</v>
      </c>
      <c r="H17" s="47">
        <f t="shared" ref="H17:Q17" si="12">-H7/H6</f>
        <v>0.30338970004232363</v>
      </c>
      <c r="I17" s="47">
        <f t="shared" si="12"/>
        <v>0.27837572023709384</v>
      </c>
      <c r="J17" s="47">
        <f t="shared" si="12"/>
        <v>0.14556331006979065</v>
      </c>
      <c r="K17" s="47">
        <f t="shared" si="12"/>
        <v>0.11728395061728394</v>
      </c>
      <c r="L17" s="47">
        <f t="shared" si="12"/>
        <v>4.7128129602356406E-2</v>
      </c>
      <c r="M17" s="47">
        <f t="shared" si="12"/>
        <v>3.5826147724684364E-2</v>
      </c>
      <c r="N17" s="47">
        <f t="shared" si="12"/>
        <v>0</v>
      </c>
      <c r="O17" s="47">
        <f t="shared" si="12"/>
        <v>0.10187110187110188</v>
      </c>
      <c r="P17" s="47">
        <f t="shared" si="12"/>
        <v>2.8493894165535955E-2</v>
      </c>
      <c r="Q17" s="47">
        <f t="shared" si="12"/>
        <v>3.9955604883462822E-2</v>
      </c>
      <c r="R17" s="47">
        <f t="shared" ref="R17:W17" si="13">-R7/R6</f>
        <v>9.3896713615023476E-3</v>
      </c>
      <c r="S17" s="47">
        <f t="shared" si="13"/>
        <v>8.11965811965812E-2</v>
      </c>
      <c r="T17" s="47">
        <f t="shared" si="13"/>
        <v>0.10436893203883495</v>
      </c>
      <c r="U17" s="47">
        <f t="shared" si="13"/>
        <v>0.13006756756756757</v>
      </c>
      <c r="V17" s="47">
        <f t="shared" si="13"/>
        <v>0.10866752910737387</v>
      </c>
      <c r="W17" s="48">
        <f t="shared" si="13"/>
        <v>8.9947089947089942E-2</v>
      </c>
      <c r="X17" s="69">
        <f>(W17-S17)*100</f>
        <v>0.87505087505087431</v>
      </c>
      <c r="Y17" s="13"/>
      <c r="Z17" s="47">
        <f t="shared" ref="Z17:AH17" si="14">-Z7/Z6</f>
        <v>0.21402148982366256</v>
      </c>
      <c r="AA17" s="47">
        <f t="shared" si="14"/>
        <v>-0.24248874504329476</v>
      </c>
      <c r="AB17" s="47">
        <f t="shared" si="14"/>
        <v>0.11728395061728394</v>
      </c>
      <c r="AC17" s="47">
        <f t="shared" si="14"/>
        <v>-1.6901408450704224E-2</v>
      </c>
      <c r="AD17" s="47">
        <f t="shared" si="14"/>
        <v>1.4136182493318231E-2</v>
      </c>
      <c r="AE17" s="47">
        <f t="shared" si="14"/>
        <v>-0.10417264403850857</v>
      </c>
      <c r="AF17" s="47">
        <f t="shared" si="14"/>
        <v>0.10187110187110188</v>
      </c>
      <c r="AG17" s="47">
        <f t="shared" si="14"/>
        <v>-0.109375</v>
      </c>
      <c r="AH17" s="47">
        <f t="shared" si="14"/>
        <v>9.1463414634146339E-2</v>
      </c>
      <c r="AI17" s="47">
        <f t="shared" ref="AI17:AN17" si="15">-AI7/AI6</f>
        <v>-0.15853658536585366</v>
      </c>
      <c r="AJ17" s="47">
        <f t="shared" si="15"/>
        <v>8.11965811965812E-2</v>
      </c>
      <c r="AK17" s="47">
        <f t="shared" si="15"/>
        <v>0.1348314606741573</v>
      </c>
      <c r="AL17" s="47">
        <f t="shared" si="15"/>
        <v>0.18888888888888888</v>
      </c>
      <c r="AM17" s="47">
        <f t="shared" si="15"/>
        <v>3.8674033149171269E-2</v>
      </c>
      <c r="AN17" s="48">
        <f t="shared" si="15"/>
        <v>8.9947089947089942E-2</v>
      </c>
    </row>
    <row r="18" spans="4:40" s="10" customFormat="1" ht="15" thickBot="1" x14ac:dyDescent="0.3">
      <c r="D18" s="46" t="s">
        <v>40</v>
      </c>
      <c r="E18" s="47">
        <f>-(E9+E10+E8)/E6</f>
        <v>0.56174183514774489</v>
      </c>
      <c r="F18" s="47">
        <f>-(F9+F10+F8)/F6</f>
        <v>0.46629126320324277</v>
      </c>
      <c r="G18" s="47">
        <f>-(G9+G10+G8)/G6</f>
        <v>0.52577996715927755</v>
      </c>
      <c r="H18" s="47">
        <f t="shared" ref="H18:U18" si="16">-(H9+H10+H8)/H6</f>
        <v>0.46636431572339704</v>
      </c>
      <c r="I18" s="47">
        <f t="shared" si="16"/>
        <v>0.46786073656535432</v>
      </c>
      <c r="J18" s="47">
        <f t="shared" si="16"/>
        <v>0.52342971086739787</v>
      </c>
      <c r="K18" s="47">
        <f t="shared" si="16"/>
        <v>0.59259259259259256</v>
      </c>
      <c r="L18" s="47">
        <f t="shared" si="16"/>
        <v>0.26804123711340205</v>
      </c>
      <c r="M18" s="47">
        <f t="shared" si="16"/>
        <v>0.38656394435792912</v>
      </c>
      <c r="N18" s="47">
        <f t="shared" si="16"/>
        <v>0.50936599423631124</v>
      </c>
      <c r="O18" s="47">
        <f t="shared" si="16"/>
        <v>0.34927234927234929</v>
      </c>
      <c r="P18" s="47">
        <f t="shared" si="16"/>
        <v>0.42198100407055633</v>
      </c>
      <c r="Q18" s="47">
        <f t="shared" si="16"/>
        <v>0.462819089900111</v>
      </c>
      <c r="R18" s="47">
        <f t="shared" si="16"/>
        <v>0.66009389671361507</v>
      </c>
      <c r="S18" s="47">
        <f t="shared" si="16"/>
        <v>0.47863247863247865</v>
      </c>
      <c r="T18" s="47">
        <f t="shared" si="16"/>
        <v>0.470873786407767</v>
      </c>
      <c r="U18" s="47">
        <f t="shared" si="16"/>
        <v>0.47972972972972971</v>
      </c>
      <c r="V18" s="47">
        <f t="shared" ref="V18:W18" si="17">-(V9+V10+V8)/V6</f>
        <v>0.58344113842173351</v>
      </c>
      <c r="W18" s="48">
        <f t="shared" si="17"/>
        <v>1.2222222222222223</v>
      </c>
      <c r="X18" s="69">
        <f>(W18-S18)*100</f>
        <v>74.358974358974365</v>
      </c>
      <c r="Y18" s="13"/>
      <c r="Z18" s="47">
        <f t="shared" ref="Z18:AH18" si="18">-(Z9+Z10+Z8)/Z6</f>
        <v>0.47171062420453136</v>
      </c>
      <c r="AA18" s="47">
        <f t="shared" si="18"/>
        <v>0.68579145591268842</v>
      </c>
      <c r="AB18" s="47">
        <f t="shared" si="18"/>
        <v>0.59259259259259256</v>
      </c>
      <c r="AC18" s="47">
        <f t="shared" si="18"/>
        <v>-2.8169014084507043E-2</v>
      </c>
      <c r="AD18" s="47">
        <f t="shared" si="18"/>
        <v>0.61402435148704548</v>
      </c>
      <c r="AE18" s="47">
        <f t="shared" si="18"/>
        <v>0.8664407857402191</v>
      </c>
      <c r="AF18" s="47">
        <f t="shared" si="18"/>
        <v>0.34927234927234929</v>
      </c>
      <c r="AG18" s="47">
        <f t="shared" si="18"/>
        <v>0.55859375</v>
      </c>
      <c r="AH18" s="47">
        <f t="shared" si="18"/>
        <v>0.64634146341463417</v>
      </c>
      <c r="AI18" s="47">
        <f t="shared" ref="AI18:AN18" si="19">-(AI9+AI10+AI8)/AI6</f>
        <v>1.7439024390243902</v>
      </c>
      <c r="AJ18" s="47">
        <f t="shared" si="19"/>
        <v>0.47863247863247865</v>
      </c>
      <c r="AK18" s="47">
        <f t="shared" si="19"/>
        <v>0.4606741573033708</v>
      </c>
      <c r="AL18" s="47">
        <f t="shared" si="19"/>
        <v>0.5</v>
      </c>
      <c r="AM18" s="47">
        <f t="shared" si="19"/>
        <v>0.92265193370165743</v>
      </c>
      <c r="AN18" s="48">
        <f t="shared" si="19"/>
        <v>1.2222222222222223</v>
      </c>
    </row>
    <row r="19" spans="4:40" s="10" customFormat="1" ht="15" thickBot="1" x14ac:dyDescent="0.3">
      <c r="D19" s="40" t="s">
        <v>36</v>
      </c>
      <c r="E19" s="49">
        <f>-(E7+E9+E10+E8)/E6</f>
        <v>0.63110419906687398</v>
      </c>
      <c r="F19" s="49">
        <f>-(F7+F9+F10+F8)/F6</f>
        <v>0.56801466267811263</v>
      </c>
      <c r="G19" s="49">
        <f>-(G7+G9+G10+G8)/G6</f>
        <v>0.63349753694581279</v>
      </c>
      <c r="H19" s="49">
        <f t="shared" ref="H19:U19" si="20">-(H7+H9+H10+H8)/H6</f>
        <v>0.76975401576572067</v>
      </c>
      <c r="I19" s="49">
        <f t="shared" si="20"/>
        <v>0.74623645680244821</v>
      </c>
      <c r="J19" s="49">
        <f t="shared" si="20"/>
        <v>0.66899302093718849</v>
      </c>
      <c r="K19" s="49">
        <f t="shared" si="20"/>
        <v>0.70987654320987659</v>
      </c>
      <c r="L19" s="49">
        <f t="shared" si="20"/>
        <v>0.31516936671575846</v>
      </c>
      <c r="M19" s="49">
        <f t="shared" si="20"/>
        <v>0.42239009208261352</v>
      </c>
      <c r="N19" s="49">
        <f t="shared" si="20"/>
        <v>0.50936599423631124</v>
      </c>
      <c r="O19" s="49">
        <f t="shared" si="20"/>
        <v>0.45114345114345117</v>
      </c>
      <c r="P19" s="49">
        <f t="shared" si="20"/>
        <v>0.45047489823609227</v>
      </c>
      <c r="Q19" s="49">
        <f t="shared" si="20"/>
        <v>0.50277469478357384</v>
      </c>
      <c r="R19" s="49">
        <f t="shared" si="20"/>
        <v>0.66948356807511733</v>
      </c>
      <c r="S19" s="49">
        <f t="shared" si="20"/>
        <v>0.55982905982905984</v>
      </c>
      <c r="T19" s="49">
        <f t="shared" si="20"/>
        <v>0.57524271844660191</v>
      </c>
      <c r="U19" s="49">
        <f t="shared" si="20"/>
        <v>0.60979729729729726</v>
      </c>
      <c r="V19" s="49">
        <f t="shared" ref="V19:W19" si="21">-(V7+V9+V10+V8)/V6</f>
        <v>0.69210866752910738</v>
      </c>
      <c r="W19" s="50">
        <f t="shared" si="21"/>
        <v>1.3121693121693121</v>
      </c>
      <c r="X19" s="89">
        <f>(W19-S19)*100</f>
        <v>75.234025234025225</v>
      </c>
      <c r="Y19" s="43"/>
      <c r="Z19" s="49">
        <f t="shared" ref="Z19:AL19" si="22">-(Z7+Z9+Z10+Z8)/Z6</f>
        <v>0.6857321140281939</v>
      </c>
      <c r="AA19" s="49">
        <f t="shared" si="22"/>
        <v>0.44330271086939366</v>
      </c>
      <c r="AB19" s="49">
        <f t="shared" si="22"/>
        <v>0.70987654320987659</v>
      </c>
      <c r="AC19" s="49">
        <f t="shared" si="22"/>
        <v>-4.507042253521127E-2</v>
      </c>
      <c r="AD19" s="49">
        <f t="shared" si="22"/>
        <v>0.62816053398036376</v>
      </c>
      <c r="AE19" s="49">
        <f t="shared" si="22"/>
        <v>0.76226814170171053</v>
      </c>
      <c r="AF19" s="49">
        <f t="shared" si="22"/>
        <v>0.45114345114345117</v>
      </c>
      <c r="AG19" s="49">
        <f t="shared" si="22"/>
        <v>0.44921875</v>
      </c>
      <c r="AH19" s="49">
        <f t="shared" si="22"/>
        <v>0.73780487804878048</v>
      </c>
      <c r="AI19" s="49">
        <f t="shared" si="22"/>
        <v>1.5853658536585367</v>
      </c>
      <c r="AJ19" s="49">
        <f t="shared" si="22"/>
        <v>0.55982905982905984</v>
      </c>
      <c r="AK19" s="49">
        <f t="shared" si="22"/>
        <v>0.5955056179775281</v>
      </c>
      <c r="AL19" s="49">
        <f t="shared" si="22"/>
        <v>0.68888888888888888</v>
      </c>
      <c r="AM19" s="49">
        <f t="shared" ref="AM19:AN19" si="23">-(AM7+AM9+AM10+AM8)/AM6</f>
        <v>0.96132596685082872</v>
      </c>
      <c r="AN19" s="50">
        <f t="shared" si="23"/>
        <v>1.3121693121693121</v>
      </c>
    </row>
    <row r="20" spans="4:40" s="10" customFormat="1" x14ac:dyDescent="0.25">
      <c r="D20" s="3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3"/>
      <c r="Y20" s="87"/>
    </row>
    <row r="21" spans="4:40" s="10" customFormat="1" x14ac:dyDescent="0.25">
      <c r="X21" s="96"/>
      <c r="Y21" s="13"/>
    </row>
    <row r="22" spans="4:40" x14ac:dyDescent="0.2"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ignoredErrors>
    <ignoredError sqref="E11:T11 U11:W11" formulaRange="1"/>
    <ignoredError sqref="AB5:AF10 AJ5:AJ1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6BB6-A971-409F-8C41-8C0B168E9BFB}">
  <sheetPr>
    <tabColor theme="1" tint="0.249977111117893"/>
  </sheetPr>
  <dimension ref="A1:J21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1.28515625" style="174" customWidth="1"/>
    <col min="5" max="6" width="13.28515625" style="174" customWidth="1"/>
    <col min="7" max="8" width="13.28515625" style="174" hidden="1" customWidth="1" outlineLevel="1"/>
    <col min="9" max="9" width="13.28515625" style="174" customWidth="1" collapsed="1"/>
    <col min="10" max="10" width="13.28515625" style="174" customWidth="1"/>
    <col min="11" max="11" width="16.42578125" style="174" bestFit="1" customWidth="1"/>
    <col min="12" max="12" width="11.42578125" style="174"/>
    <col min="13" max="13" width="12.28515625" style="174" bestFit="1" customWidth="1"/>
    <col min="14" max="16384" width="11.42578125" style="174"/>
  </cols>
  <sheetData>
    <row r="1" spans="1:10" ht="16.5" customHeight="1" x14ac:dyDescent="0.2"/>
    <row r="2" spans="1:10" ht="18.75" customHeight="1" thickBot="1" x14ac:dyDescent="0.25">
      <c r="B2" s="11" t="s">
        <v>27</v>
      </c>
      <c r="D2" s="14" t="s">
        <v>214</v>
      </c>
      <c r="E2" s="14"/>
      <c r="F2" s="14"/>
      <c r="G2" s="14"/>
      <c r="H2" s="14"/>
      <c r="I2" s="14"/>
      <c r="J2" s="14"/>
    </row>
    <row r="3" spans="1:10" ht="16.5" customHeight="1" x14ac:dyDescent="0.2"/>
    <row r="4" spans="1:10" ht="15.75" customHeight="1" thickBot="1" x14ac:dyDescent="0.3">
      <c r="A4" s="10"/>
      <c r="B4" s="10"/>
      <c r="C4" s="10"/>
      <c r="D4" s="23"/>
      <c r="E4" s="33" t="s">
        <v>16</v>
      </c>
      <c r="F4" s="33" t="s">
        <v>17</v>
      </c>
      <c r="G4" s="33" t="s">
        <v>88</v>
      </c>
      <c r="H4" s="33" t="s">
        <v>92</v>
      </c>
      <c r="I4" s="33" t="s">
        <v>95</v>
      </c>
      <c r="J4" s="34" t="s">
        <v>193</v>
      </c>
    </row>
    <row r="5" spans="1:10" ht="15" customHeight="1" x14ac:dyDescent="0.25">
      <c r="A5" s="10"/>
      <c r="B5" s="10"/>
      <c r="C5" s="10"/>
      <c r="D5" s="31" t="s">
        <v>206</v>
      </c>
      <c r="E5" s="35">
        <v>78758</v>
      </c>
      <c r="F5" s="35">
        <v>-7046</v>
      </c>
      <c r="G5" s="35">
        <v>-20504</v>
      </c>
      <c r="H5" s="35">
        <v>-19976</v>
      </c>
      <c r="I5" s="35">
        <v>-13806</v>
      </c>
      <c r="J5" s="36">
        <v>12608</v>
      </c>
    </row>
    <row r="6" spans="1:10" ht="15" customHeight="1" x14ac:dyDescent="0.25">
      <c r="A6" s="10"/>
      <c r="B6" s="10"/>
      <c r="C6" s="10"/>
      <c r="D6" s="37" t="s">
        <v>207</v>
      </c>
      <c r="E6" s="38">
        <v>4480</v>
      </c>
      <c r="F6" s="38">
        <v>1161</v>
      </c>
      <c r="G6" s="38">
        <v>2981</v>
      </c>
      <c r="H6" s="38">
        <v>6887</v>
      </c>
      <c r="I6" s="38">
        <v>13559</v>
      </c>
      <c r="J6" s="39">
        <v>2872</v>
      </c>
    </row>
    <row r="7" spans="1:10" ht="15" customHeight="1" x14ac:dyDescent="0.25">
      <c r="A7" s="10"/>
      <c r="B7" s="10"/>
      <c r="C7" s="10"/>
      <c r="D7" s="37" t="s">
        <v>208</v>
      </c>
      <c r="E7" s="55" t="s">
        <v>195</v>
      </c>
      <c r="F7" s="38">
        <v>-1106</v>
      </c>
      <c r="G7" s="38">
        <v>-2379</v>
      </c>
      <c r="H7" s="38">
        <v>-2637</v>
      </c>
      <c r="I7" s="38">
        <v>-3238</v>
      </c>
      <c r="J7" s="39">
        <v>-157</v>
      </c>
    </row>
    <row r="8" spans="1:10" ht="15" customHeight="1" x14ac:dyDescent="0.25">
      <c r="A8" s="10"/>
      <c r="B8" s="10"/>
      <c r="C8" s="10"/>
      <c r="D8" s="37" t="s">
        <v>213</v>
      </c>
      <c r="E8" s="55" t="s">
        <v>195</v>
      </c>
      <c r="F8" s="38">
        <v>-58</v>
      </c>
      <c r="G8" s="38">
        <v>-4</v>
      </c>
      <c r="H8" s="38">
        <v>-19</v>
      </c>
      <c r="I8" s="38">
        <v>-39</v>
      </c>
      <c r="J8" s="39">
        <v>-59</v>
      </c>
    </row>
    <row r="9" spans="1:10" ht="15" customHeight="1" x14ac:dyDescent="0.25">
      <c r="A9" s="10"/>
      <c r="B9" s="10"/>
      <c r="C9" s="10"/>
      <c r="D9" s="37" t="s">
        <v>209</v>
      </c>
      <c r="E9" s="55" t="s">
        <v>195</v>
      </c>
      <c r="F9" s="38">
        <v>420</v>
      </c>
      <c r="G9" s="38">
        <v>1314</v>
      </c>
      <c r="H9" s="38">
        <v>1615</v>
      </c>
      <c r="I9" s="38">
        <v>1794</v>
      </c>
      <c r="J9" s="39">
        <v>583</v>
      </c>
    </row>
    <row r="10" spans="1:10" ht="15" customHeight="1" x14ac:dyDescent="0.25">
      <c r="A10" s="10"/>
      <c r="B10" s="10"/>
      <c r="C10" s="10"/>
      <c r="D10" s="37" t="s">
        <v>210</v>
      </c>
      <c r="E10" s="38">
        <v>425</v>
      </c>
      <c r="F10" s="38">
        <v>-425</v>
      </c>
      <c r="G10" s="38">
        <v>-1278</v>
      </c>
      <c r="H10" s="38">
        <v>-2735</v>
      </c>
      <c r="I10" s="38">
        <v>-4646</v>
      </c>
      <c r="J10" s="39">
        <v>-2182</v>
      </c>
    </row>
    <row r="11" spans="1:10" ht="15" customHeight="1" thickBot="1" x14ac:dyDescent="0.3">
      <c r="A11" s="10"/>
      <c r="B11" s="10"/>
      <c r="C11" s="10"/>
      <c r="D11" s="37" t="s">
        <v>211</v>
      </c>
      <c r="E11" s="38">
        <v>-103</v>
      </c>
      <c r="F11" s="38">
        <v>-4</v>
      </c>
      <c r="G11" s="38">
        <v>-14</v>
      </c>
      <c r="H11" s="38">
        <v>-179</v>
      </c>
      <c r="I11" s="38">
        <v>-171</v>
      </c>
      <c r="J11" s="39">
        <v>25</v>
      </c>
    </row>
    <row r="12" spans="1:10" ht="15" customHeight="1" thickBot="1" x14ac:dyDescent="0.3">
      <c r="A12" s="10"/>
      <c r="B12" s="10"/>
      <c r="C12" s="10"/>
      <c r="D12" s="40" t="s">
        <v>212</v>
      </c>
      <c r="E12" s="41">
        <f t="shared" ref="E12" si="0">SUM(E5:E11)</f>
        <v>83560</v>
      </c>
      <c r="F12" s="41">
        <f>SUM(F5:F11)</f>
        <v>-7058</v>
      </c>
      <c r="G12" s="41">
        <f t="shared" ref="G12:I12" si="1">SUM(G5:G11)</f>
        <v>-19884</v>
      </c>
      <c r="H12" s="41">
        <f t="shared" si="1"/>
        <v>-17044</v>
      </c>
      <c r="I12" s="41">
        <f t="shared" si="1"/>
        <v>-6547</v>
      </c>
      <c r="J12" s="42">
        <f>SUM(J5:J11)</f>
        <v>13690</v>
      </c>
    </row>
    <row r="13" spans="1:10" ht="9" customHeight="1" x14ac:dyDescent="0.25">
      <c r="A13" s="10"/>
      <c r="B13" s="10"/>
      <c r="C13" s="10"/>
      <c r="D13" s="175"/>
      <c r="E13" s="38"/>
      <c r="F13" s="38"/>
      <c r="G13" s="38"/>
      <c r="H13" s="38"/>
      <c r="I13" s="38"/>
    </row>
    <row r="14" spans="1:10" ht="14.25" x14ac:dyDescent="0.25">
      <c r="A14" s="10"/>
      <c r="B14" s="10"/>
      <c r="C14" s="10"/>
      <c r="E14" s="27"/>
      <c r="F14" s="27"/>
      <c r="G14" s="27"/>
      <c r="H14" s="27"/>
      <c r="I14" s="27"/>
      <c r="J14" s="27" t="s">
        <v>29</v>
      </c>
    </row>
    <row r="15" spans="1:10" ht="14.25" x14ac:dyDescent="0.25">
      <c r="A15" s="10"/>
      <c r="B15" s="10"/>
      <c r="C15" s="10"/>
      <c r="E15" s="27"/>
      <c r="F15" s="27"/>
      <c r="G15" s="27"/>
      <c r="H15" s="27"/>
      <c r="I15" s="27"/>
      <c r="J15" s="27"/>
    </row>
    <row r="16" spans="1:10" ht="14.25" x14ac:dyDescent="0.25">
      <c r="A16" s="10"/>
      <c r="B16" s="10"/>
      <c r="C16" s="10"/>
      <c r="E16" s="176"/>
      <c r="F16" s="176"/>
      <c r="G16" s="176"/>
      <c r="H16" s="176"/>
      <c r="I16" s="176"/>
      <c r="J16" s="176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Suplemento Financiero&gt;&gt;&gt;'!A1" display="ÍNDICE" xr:uid="{5990CA2D-1FD8-4A29-9A78-C3F8A974CF6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27</v>
      </c>
      <c r="D2" s="14" t="s">
        <v>175</v>
      </c>
      <c r="E2" s="14"/>
      <c r="F2" s="14"/>
      <c r="G2" s="14"/>
    </row>
    <row r="4" spans="2:7" ht="15.75" thickBot="1" x14ac:dyDescent="0.25">
      <c r="D4" s="106" t="s">
        <v>193</v>
      </c>
      <c r="E4" s="17" t="s">
        <v>113</v>
      </c>
      <c r="F4" s="107"/>
      <c r="G4" s="108" t="s">
        <v>217</v>
      </c>
    </row>
    <row r="5" spans="2:7" x14ac:dyDescent="0.2">
      <c r="D5" s="52" t="s">
        <v>176</v>
      </c>
      <c r="E5" s="109">
        <v>236348</v>
      </c>
      <c r="F5" s="87"/>
      <c r="G5" s="110"/>
    </row>
    <row r="6" spans="2:7" x14ac:dyDescent="0.2">
      <c r="D6" s="52" t="s">
        <v>177</v>
      </c>
      <c r="E6" s="109">
        <v>0</v>
      </c>
      <c r="F6" s="52"/>
      <c r="G6" s="111">
        <v>236370</v>
      </c>
    </row>
    <row r="7" spans="2:7" x14ac:dyDescent="0.2">
      <c r="D7" s="52"/>
      <c r="E7" s="109"/>
      <c r="F7" s="52"/>
      <c r="G7" s="111"/>
    </row>
    <row r="8" spans="2:7" x14ac:dyDescent="0.2">
      <c r="D8" s="112" t="s">
        <v>178</v>
      </c>
      <c r="E8" s="113">
        <f>SUM(E9:E14)</f>
        <v>-186439</v>
      </c>
      <c r="F8" s="52"/>
      <c r="G8" s="114">
        <f>SUM(G9:G14)</f>
        <v>-177499</v>
      </c>
    </row>
    <row r="9" spans="2:7" x14ac:dyDescent="0.2">
      <c r="D9" s="52" t="s">
        <v>179</v>
      </c>
      <c r="E9" s="109">
        <v>-152852</v>
      </c>
      <c r="F9" s="52"/>
      <c r="G9" s="111">
        <v>-147123</v>
      </c>
    </row>
    <row r="10" spans="2:7" x14ac:dyDescent="0.2">
      <c r="D10" s="52" t="s">
        <v>192</v>
      </c>
      <c r="E10" s="109">
        <v>-3443</v>
      </c>
      <c r="F10" s="52"/>
      <c r="G10" s="111">
        <v>-412</v>
      </c>
    </row>
    <row r="11" spans="2:7" x14ac:dyDescent="0.2">
      <c r="D11" s="52" t="s">
        <v>180</v>
      </c>
      <c r="E11" s="109">
        <v>-30144</v>
      </c>
      <c r="F11" s="52"/>
      <c r="G11" s="111">
        <v>-29964</v>
      </c>
    </row>
    <row r="12" spans="2:7" x14ac:dyDescent="0.2">
      <c r="D12" s="52" t="s">
        <v>181</v>
      </c>
      <c r="E12" s="109">
        <v>0</v>
      </c>
      <c r="F12" s="52"/>
      <c r="G12" s="111">
        <v>0</v>
      </c>
    </row>
    <row r="13" spans="2:7" x14ac:dyDescent="0.2">
      <c r="D13" s="115" t="s">
        <v>182</v>
      </c>
      <c r="E13" s="109">
        <v>0</v>
      </c>
      <c r="F13" s="52"/>
      <c r="G13" s="111">
        <v>0</v>
      </c>
    </row>
    <row r="14" spans="2:7" ht="13.5" thickBot="1" x14ac:dyDescent="0.25">
      <c r="D14" s="52" t="s">
        <v>183</v>
      </c>
      <c r="E14" s="109">
        <v>0</v>
      </c>
      <c r="F14" s="52"/>
      <c r="G14" s="111">
        <v>0</v>
      </c>
    </row>
    <row r="15" spans="2:7" ht="13.5" thickBot="1" x14ac:dyDescent="0.25">
      <c r="D15" s="116" t="s">
        <v>184</v>
      </c>
      <c r="E15" s="117">
        <f>-E8/E5</f>
        <v>0.78883256892379039</v>
      </c>
      <c r="F15" s="118"/>
      <c r="G15" s="119">
        <f>-G8/G6</f>
        <v>0.750937090155265</v>
      </c>
    </row>
    <row r="16" spans="2:7" x14ac:dyDescent="0.2">
      <c r="D16" s="52"/>
      <c r="E16" s="52"/>
      <c r="F16" s="52"/>
      <c r="G16" s="120"/>
    </row>
    <row r="17" spans="4:7" x14ac:dyDescent="0.2">
      <c r="D17" s="112" t="s">
        <v>185</v>
      </c>
      <c r="E17" s="113">
        <f>+SUM(E18:E24)</f>
        <v>-46373</v>
      </c>
      <c r="F17" s="52"/>
      <c r="G17" s="114">
        <f>+SUM(G18:G24)</f>
        <v>-52560</v>
      </c>
    </row>
    <row r="18" spans="4:7" x14ac:dyDescent="0.2">
      <c r="D18" s="52" t="s">
        <v>186</v>
      </c>
      <c r="E18" s="109">
        <v>-45491</v>
      </c>
      <c r="F18" s="52"/>
      <c r="G18" s="121">
        <v>-45501</v>
      </c>
    </row>
    <row r="19" spans="4:7" x14ac:dyDescent="0.2">
      <c r="D19" s="52" t="s">
        <v>187</v>
      </c>
      <c r="E19" s="109">
        <v>-6063</v>
      </c>
      <c r="F19" s="52"/>
      <c r="G19" s="121">
        <v>-6111</v>
      </c>
    </row>
    <row r="20" spans="4:7" x14ac:dyDescent="0.2">
      <c r="D20" s="122" t="s">
        <v>137</v>
      </c>
      <c r="E20" s="20">
        <v>0</v>
      </c>
      <c r="F20" s="52"/>
      <c r="G20" s="121">
        <v>-431</v>
      </c>
    </row>
    <row r="21" spans="4:7" x14ac:dyDescent="0.2">
      <c r="D21" s="122" t="s">
        <v>188</v>
      </c>
      <c r="E21" s="20">
        <v>-782</v>
      </c>
      <c r="F21" s="52"/>
      <c r="G21" s="121">
        <v>-517</v>
      </c>
    </row>
    <row r="22" spans="4:7" x14ac:dyDescent="0.2">
      <c r="D22" s="122" t="s">
        <v>189</v>
      </c>
      <c r="E22" s="20">
        <v>0</v>
      </c>
      <c r="F22" s="52"/>
      <c r="G22" s="121">
        <v>0</v>
      </c>
    </row>
    <row r="23" spans="4:7" x14ac:dyDescent="0.2">
      <c r="D23" s="122" t="s">
        <v>191</v>
      </c>
      <c r="E23" s="20">
        <v>6057</v>
      </c>
      <c r="F23" s="52"/>
      <c r="G23" s="121">
        <v>0</v>
      </c>
    </row>
    <row r="24" spans="4:7" ht="13.5" thickBot="1" x14ac:dyDescent="0.25">
      <c r="D24" s="122" t="s">
        <v>149</v>
      </c>
      <c r="E24" s="20">
        <v>-94</v>
      </c>
      <c r="F24" s="52"/>
      <c r="G24" s="121">
        <v>0</v>
      </c>
    </row>
    <row r="25" spans="4:7" ht="13.5" thickBot="1" x14ac:dyDescent="0.25">
      <c r="D25" s="117" t="s">
        <v>190</v>
      </c>
      <c r="E25" s="117">
        <f>-E17/E5</f>
        <v>0.19620644134919696</v>
      </c>
      <c r="F25" s="118"/>
      <c r="G25" s="119">
        <f>-G17/G6</f>
        <v>0.2223632440665059</v>
      </c>
    </row>
    <row r="26" spans="4:7" x14ac:dyDescent="0.2">
      <c r="D26" s="52"/>
      <c r="E26" s="52"/>
      <c r="F26" s="52"/>
      <c r="G26" s="120"/>
    </row>
    <row r="27" spans="4:7" x14ac:dyDescent="0.2">
      <c r="D27" s="123" t="s">
        <v>36</v>
      </c>
      <c r="E27" s="124">
        <f>E25+E15</f>
        <v>0.98503901027298735</v>
      </c>
      <c r="F27" s="118"/>
      <c r="G27" s="125">
        <f>G25+G15</f>
        <v>0.97330033422177087</v>
      </c>
    </row>
    <row r="28" spans="4:7" ht="9" customHeight="1" x14ac:dyDescent="0.2">
      <c r="D28" s="31"/>
      <c r="E28" s="62"/>
      <c r="F28" s="62"/>
      <c r="G28" s="62"/>
    </row>
    <row r="29" spans="4:7" x14ac:dyDescent="0.2">
      <c r="G29" s="27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11" t="s">
        <v>27</v>
      </c>
    </row>
  </sheetData>
  <hyperlinks>
    <hyperlink ref="C2" location="'Suplemento Financiero&gt;&gt;&gt;'!A1" display="ÍNDICE" xr:uid="{BA9F9D9D-F0C0-4DFD-86D9-8AC4FFA59BBA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L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0" width="13.5703125" style="73" customWidth="1"/>
    <col min="11" max="11" width="9.7109375" style="73" customWidth="1"/>
    <col min="12" max="16384" width="10.85546875" style="73"/>
  </cols>
  <sheetData>
    <row r="1" spans="2:12" ht="16.5" customHeight="1" x14ac:dyDescent="0.2"/>
    <row r="2" spans="2:12" ht="18.75" customHeight="1" thickBot="1" x14ac:dyDescent="0.25">
      <c r="B2" s="11" t="s">
        <v>27</v>
      </c>
      <c r="D2" s="14" t="s">
        <v>32</v>
      </c>
      <c r="E2" s="14"/>
      <c r="F2" s="14"/>
      <c r="G2" s="14"/>
      <c r="H2" s="14"/>
      <c r="I2" s="14"/>
      <c r="J2" s="14"/>
      <c r="K2" s="14"/>
      <c r="L2" s="14"/>
    </row>
    <row r="4" spans="2:12" ht="13.5" thickBot="1" x14ac:dyDescent="0.25">
      <c r="D4" s="23"/>
      <c r="E4" s="126" t="s">
        <v>6</v>
      </c>
      <c r="F4" s="126" t="s">
        <v>3</v>
      </c>
      <c r="G4" s="126" t="s">
        <v>4</v>
      </c>
      <c r="H4" s="126" t="s">
        <v>14</v>
      </c>
      <c r="I4" s="126" t="s">
        <v>16</v>
      </c>
      <c r="J4" s="126" t="s">
        <v>95</v>
      </c>
      <c r="K4" s="178" t="s">
        <v>193</v>
      </c>
      <c r="L4" s="179"/>
    </row>
    <row r="5" spans="2:12" x14ac:dyDescent="0.2">
      <c r="D5" s="127" t="s">
        <v>46</v>
      </c>
      <c r="E5" s="128">
        <f t="shared" ref="E5:K5" si="0">E6+E13</f>
        <v>696945.09054</v>
      </c>
      <c r="F5" s="128">
        <f t="shared" si="0"/>
        <v>720797.13546999998</v>
      </c>
      <c r="G5" s="128">
        <f t="shared" si="0"/>
        <v>801209.28558999998</v>
      </c>
      <c r="H5" s="128">
        <f t="shared" si="0"/>
        <v>722005</v>
      </c>
      <c r="I5" s="128">
        <f t="shared" si="0"/>
        <v>618778</v>
      </c>
      <c r="J5" s="128">
        <f t="shared" si="0"/>
        <v>759821</v>
      </c>
      <c r="K5" s="129">
        <f t="shared" si="0"/>
        <v>738561</v>
      </c>
      <c r="L5" s="130">
        <f>K5/K$22</f>
        <v>0.79591117567439418</v>
      </c>
    </row>
    <row r="6" spans="2:12" x14ac:dyDescent="0.2">
      <c r="D6" s="131" t="s">
        <v>47</v>
      </c>
      <c r="E6" s="128">
        <f t="shared" ref="E6:K6" si="1">SUM(E7:E12)</f>
        <v>397566.68119000003</v>
      </c>
      <c r="F6" s="128">
        <f t="shared" si="1"/>
        <v>394655.81483999995</v>
      </c>
      <c r="G6" s="128">
        <f t="shared" si="1"/>
        <v>438763.14398999995</v>
      </c>
      <c r="H6" s="128">
        <f t="shared" si="1"/>
        <v>396345</v>
      </c>
      <c r="I6" s="128">
        <f t="shared" si="1"/>
        <v>356496</v>
      </c>
      <c r="J6" s="128">
        <f t="shared" si="1"/>
        <v>380665</v>
      </c>
      <c r="K6" s="129">
        <f t="shared" si="1"/>
        <v>342947</v>
      </c>
      <c r="L6" s="130">
        <f t="shared" ref="L6:L21" si="2">K6/K$22</f>
        <v>0.36957725897252419</v>
      </c>
    </row>
    <row r="7" spans="2:12" x14ac:dyDescent="0.2">
      <c r="D7" s="132" t="s">
        <v>48</v>
      </c>
      <c r="E7" s="133">
        <v>263898.88505000004</v>
      </c>
      <c r="F7" s="133">
        <v>247394.05644000001</v>
      </c>
      <c r="G7" s="133">
        <v>216811.94155999995</v>
      </c>
      <c r="H7" s="133">
        <v>184414</v>
      </c>
      <c r="I7" s="133">
        <v>168561</v>
      </c>
      <c r="J7" s="133">
        <v>158454</v>
      </c>
      <c r="K7" s="134">
        <v>139760</v>
      </c>
      <c r="L7" s="135">
        <f t="shared" si="2"/>
        <v>0.15061253696343746</v>
      </c>
    </row>
    <row r="8" spans="2:12" x14ac:dyDescent="0.2">
      <c r="D8" s="132" t="s">
        <v>49</v>
      </c>
      <c r="E8" s="133">
        <v>80202.5</v>
      </c>
      <c r="F8" s="133">
        <v>91853.940789999993</v>
      </c>
      <c r="G8" s="133">
        <v>157271.44813</v>
      </c>
      <c r="H8" s="133">
        <v>150362</v>
      </c>
      <c r="I8" s="133">
        <v>132418</v>
      </c>
      <c r="J8" s="133">
        <v>137437</v>
      </c>
      <c r="K8" s="134">
        <v>113543</v>
      </c>
      <c r="L8" s="135">
        <f t="shared" si="2"/>
        <v>0.12235975446794203</v>
      </c>
    </row>
    <row r="9" spans="2:12" x14ac:dyDescent="0.2">
      <c r="D9" s="132" t="s">
        <v>5</v>
      </c>
      <c r="E9" s="133">
        <v>47496.68894</v>
      </c>
      <c r="F9" s="133">
        <v>48972.218159999997</v>
      </c>
      <c r="G9" s="133">
        <v>57670.556810000002</v>
      </c>
      <c r="H9" s="133">
        <v>47717</v>
      </c>
      <c r="I9" s="133">
        <v>44593</v>
      </c>
      <c r="J9" s="133">
        <v>14779</v>
      </c>
      <c r="K9" s="134">
        <v>14762</v>
      </c>
      <c r="L9" s="135">
        <f t="shared" si="2"/>
        <v>1.5908287569077445E-2</v>
      </c>
    </row>
    <row r="10" spans="2:12" x14ac:dyDescent="0.2">
      <c r="D10" s="132" t="s">
        <v>50</v>
      </c>
      <c r="E10" s="133">
        <v>4214.27945</v>
      </c>
      <c r="F10" s="133">
        <v>4648.5994499999997</v>
      </c>
      <c r="G10" s="136">
        <v>0</v>
      </c>
      <c r="H10" s="136">
        <v>0</v>
      </c>
      <c r="I10" s="136">
        <v>0</v>
      </c>
      <c r="J10" s="136">
        <v>0</v>
      </c>
      <c r="K10" s="134">
        <v>0</v>
      </c>
      <c r="L10" s="135">
        <f t="shared" si="2"/>
        <v>0</v>
      </c>
    </row>
    <row r="11" spans="2:12" x14ac:dyDescent="0.2">
      <c r="D11" s="132" t="s">
        <v>51</v>
      </c>
      <c r="E11" s="133">
        <v>1754.3277499999999</v>
      </c>
      <c r="F11" s="133">
        <v>1787</v>
      </c>
      <c r="G11" s="133">
        <v>1629.18226</v>
      </c>
      <c r="H11" s="133">
        <v>2965</v>
      </c>
      <c r="I11" s="133">
        <v>989</v>
      </c>
      <c r="J11" s="133">
        <v>997</v>
      </c>
      <c r="K11" s="134">
        <v>0</v>
      </c>
      <c r="L11" s="135">
        <f t="shared" si="2"/>
        <v>0</v>
      </c>
    </row>
    <row r="12" spans="2:12" x14ac:dyDescent="0.2">
      <c r="D12" s="132" t="s">
        <v>52</v>
      </c>
      <c r="E12" s="136">
        <v>0</v>
      </c>
      <c r="F12" s="136">
        <v>0</v>
      </c>
      <c r="G12" s="133">
        <v>5380.01523</v>
      </c>
      <c r="H12" s="133">
        <v>10887</v>
      </c>
      <c r="I12" s="133">
        <v>9935</v>
      </c>
      <c r="J12" s="133">
        <v>68998</v>
      </c>
      <c r="K12" s="134">
        <v>74882</v>
      </c>
      <c r="L12" s="135">
        <f t="shared" si="2"/>
        <v>8.0696679972067281E-2</v>
      </c>
    </row>
    <row r="13" spans="2:12" x14ac:dyDescent="0.2">
      <c r="D13" s="131" t="s">
        <v>53</v>
      </c>
      <c r="E13" s="128">
        <f t="shared" ref="E13:K13" si="3">SUM(E14:E17)</f>
        <v>299378.40934999997</v>
      </c>
      <c r="F13" s="128">
        <f t="shared" si="3"/>
        <v>326141.32063000003</v>
      </c>
      <c r="G13" s="128">
        <f t="shared" si="3"/>
        <v>362446.14160000003</v>
      </c>
      <c r="H13" s="128">
        <f t="shared" si="3"/>
        <v>325660</v>
      </c>
      <c r="I13" s="128">
        <f t="shared" si="3"/>
        <v>262282</v>
      </c>
      <c r="J13" s="128">
        <f t="shared" si="3"/>
        <v>379156</v>
      </c>
      <c r="K13" s="129">
        <f t="shared" si="3"/>
        <v>395614</v>
      </c>
      <c r="L13" s="130">
        <f t="shared" si="2"/>
        <v>0.42633391670186993</v>
      </c>
    </row>
    <row r="14" spans="2:12" x14ac:dyDescent="0.2">
      <c r="D14" s="132" t="s">
        <v>48</v>
      </c>
      <c r="E14" s="133">
        <v>137460.92869</v>
      </c>
      <c r="F14" s="133">
        <v>169933.97990999999</v>
      </c>
      <c r="G14" s="133">
        <v>199091</v>
      </c>
      <c r="H14" s="133">
        <v>161222</v>
      </c>
      <c r="I14" s="133">
        <v>132278</v>
      </c>
      <c r="J14" s="133">
        <v>189240</v>
      </c>
      <c r="K14" s="134">
        <v>170327</v>
      </c>
      <c r="L14" s="135">
        <f t="shared" si="2"/>
        <v>0.18355310234238273</v>
      </c>
    </row>
    <row r="15" spans="2:12" x14ac:dyDescent="0.2">
      <c r="D15" s="132" t="s">
        <v>54</v>
      </c>
      <c r="E15" s="133">
        <v>130336.4</v>
      </c>
      <c r="F15" s="133">
        <v>123472.05232</v>
      </c>
      <c r="G15" s="133">
        <v>137084.19157</v>
      </c>
      <c r="H15" s="133">
        <v>112100</v>
      </c>
      <c r="I15" s="133">
        <v>89057</v>
      </c>
      <c r="J15" s="133">
        <v>118929</v>
      </c>
      <c r="K15" s="134">
        <v>133986</v>
      </c>
      <c r="L15" s="135">
        <f t="shared" si="2"/>
        <v>0.14439017871768123</v>
      </c>
    </row>
    <row r="16" spans="2:12" x14ac:dyDescent="0.2">
      <c r="D16" s="132" t="s">
        <v>55</v>
      </c>
      <c r="E16" s="136">
        <v>0</v>
      </c>
      <c r="F16" s="136">
        <v>0</v>
      </c>
      <c r="G16" s="136">
        <v>0</v>
      </c>
      <c r="H16" s="133">
        <v>22386</v>
      </c>
      <c r="I16" s="133">
        <v>13527</v>
      </c>
      <c r="J16" s="133">
        <v>22956</v>
      </c>
      <c r="K16" s="134">
        <v>22181</v>
      </c>
      <c r="L16" s="135">
        <f t="shared" si="2"/>
        <v>2.3903382100644004E-2</v>
      </c>
    </row>
    <row r="17" spans="4:12" x14ac:dyDescent="0.2">
      <c r="D17" s="132" t="s">
        <v>56</v>
      </c>
      <c r="E17" s="133">
        <v>31581.080659999996</v>
      </c>
      <c r="F17" s="133">
        <v>32735.288400000001</v>
      </c>
      <c r="G17" s="133">
        <v>26270.950030000004</v>
      </c>
      <c r="H17" s="133">
        <v>29952</v>
      </c>
      <c r="I17" s="133">
        <v>27420</v>
      </c>
      <c r="J17" s="133">
        <v>48031</v>
      </c>
      <c r="K17" s="134">
        <v>69120</v>
      </c>
      <c r="L17" s="135">
        <f t="shared" si="2"/>
        <v>7.4487253541161966E-2</v>
      </c>
    </row>
    <row r="18" spans="4:12" x14ac:dyDescent="0.2">
      <c r="D18" s="127" t="s">
        <v>57</v>
      </c>
      <c r="E18" s="128">
        <v>45094</v>
      </c>
      <c r="F18" s="128">
        <v>59231</v>
      </c>
      <c r="G18" s="128">
        <v>60536</v>
      </c>
      <c r="H18" s="128">
        <v>75237</v>
      </c>
      <c r="I18" s="128">
        <v>72074</v>
      </c>
      <c r="J18" s="128">
        <v>63552</v>
      </c>
      <c r="K18" s="129">
        <v>75775</v>
      </c>
      <c r="L18" s="130">
        <f t="shared" si="2"/>
        <v>8.1659022527221473E-2</v>
      </c>
    </row>
    <row r="19" spans="4:12" x14ac:dyDescent="0.2">
      <c r="D19" s="132" t="s">
        <v>58</v>
      </c>
      <c r="E19" s="133">
        <v>10300</v>
      </c>
      <c r="F19" s="133">
        <v>19416</v>
      </c>
      <c r="G19" s="133">
        <v>19795</v>
      </c>
      <c r="H19" s="133">
        <v>19654</v>
      </c>
      <c r="I19" s="133">
        <v>30340</v>
      </c>
      <c r="J19" s="133">
        <v>29532</v>
      </c>
      <c r="K19" s="134">
        <v>30333.012790000001</v>
      </c>
      <c r="L19" s="135">
        <f t="shared" si="2"/>
        <v>3.2688408772512133E-2</v>
      </c>
    </row>
    <row r="20" spans="4:12" x14ac:dyDescent="0.2">
      <c r="D20" s="127" t="s">
        <v>59</v>
      </c>
      <c r="E20" s="128">
        <v>43669</v>
      </c>
      <c r="F20" s="128">
        <v>57457</v>
      </c>
      <c r="G20" s="128">
        <v>65319</v>
      </c>
      <c r="H20" s="128">
        <v>78726</v>
      </c>
      <c r="I20" s="128">
        <v>48812</v>
      </c>
      <c r="J20" s="128">
        <v>53970</v>
      </c>
      <c r="K20" s="129">
        <v>55246</v>
      </c>
      <c r="L20" s="130">
        <f t="shared" si="2"/>
        <v>5.9535920271050841E-2</v>
      </c>
    </row>
    <row r="21" spans="4:12" ht="13.5" thickBot="1" x14ac:dyDescent="0.25">
      <c r="D21" s="127" t="s">
        <v>60</v>
      </c>
      <c r="E21" s="128">
        <v>67458</v>
      </c>
      <c r="F21" s="128">
        <v>66670</v>
      </c>
      <c r="G21" s="128">
        <v>65947.506580000001</v>
      </c>
      <c r="H21" s="128">
        <v>65457</v>
      </c>
      <c r="I21" s="128">
        <v>64676</v>
      </c>
      <c r="J21" s="128">
        <v>58523</v>
      </c>
      <c r="K21" s="129">
        <v>58362</v>
      </c>
      <c r="L21" s="130">
        <f t="shared" si="2"/>
        <v>6.2893881527333551E-2</v>
      </c>
    </row>
    <row r="22" spans="4:12" x14ac:dyDescent="0.2">
      <c r="D22" s="137" t="s">
        <v>61</v>
      </c>
      <c r="E22" s="138">
        <f t="shared" ref="E22:G22" si="4">E5+E18+E20+E21</f>
        <v>853166.09054</v>
      </c>
      <c r="F22" s="138">
        <f t="shared" si="4"/>
        <v>904155.13546999998</v>
      </c>
      <c r="G22" s="138">
        <f t="shared" si="4"/>
        <v>993011.79217000003</v>
      </c>
      <c r="H22" s="138">
        <f>H5+H18+H20+H21</f>
        <v>941425</v>
      </c>
      <c r="I22" s="138">
        <f t="shared" ref="I22:K22" si="5">I5+I18+I20+I21</f>
        <v>804340</v>
      </c>
      <c r="J22" s="138">
        <f t="shared" si="5"/>
        <v>935866</v>
      </c>
      <c r="K22" s="139">
        <f t="shared" si="5"/>
        <v>927944</v>
      </c>
      <c r="L22" s="140">
        <f>L5+L18+L20+L21</f>
        <v>1</v>
      </c>
    </row>
    <row r="23" spans="4:12" ht="13.5" thickBot="1" x14ac:dyDescent="0.25">
      <c r="D23" s="141" t="s">
        <v>62</v>
      </c>
      <c r="E23" s="128">
        <v>166776</v>
      </c>
      <c r="F23" s="128">
        <v>144937</v>
      </c>
      <c r="G23" s="128">
        <v>162500</v>
      </c>
      <c r="H23" s="128">
        <v>115788</v>
      </c>
      <c r="I23" s="128">
        <v>51661</v>
      </c>
      <c r="J23" s="128">
        <v>41746</v>
      </c>
      <c r="K23" s="142">
        <v>64435</v>
      </c>
      <c r="L23" s="143" t="s">
        <v>7</v>
      </c>
    </row>
    <row r="24" spans="4:12" ht="13.5" thickBot="1" x14ac:dyDescent="0.25">
      <c r="D24" s="144" t="s">
        <v>1</v>
      </c>
      <c r="E24" s="145">
        <f t="shared" ref="E24:H24" si="6">E22+E23</f>
        <v>1019942.09054</v>
      </c>
      <c r="F24" s="145">
        <f t="shared" si="6"/>
        <v>1049092.1354700001</v>
      </c>
      <c r="G24" s="145">
        <f t="shared" si="6"/>
        <v>1155511.79217</v>
      </c>
      <c r="H24" s="145">
        <f t="shared" si="6"/>
        <v>1057213</v>
      </c>
      <c r="I24" s="145">
        <f>I22+I23</f>
        <v>856001</v>
      </c>
      <c r="J24" s="145">
        <f>J22+J23</f>
        <v>977612</v>
      </c>
      <c r="K24" s="146">
        <f>K22+K23</f>
        <v>992379</v>
      </c>
      <c r="L24" s="147" t="s">
        <v>7</v>
      </c>
    </row>
    <row r="25" spans="4:12" ht="9" customHeight="1" x14ac:dyDescent="0.2">
      <c r="D25" s="31"/>
      <c r="E25" s="62"/>
      <c r="F25" s="62"/>
      <c r="G25" s="62"/>
      <c r="H25" s="62"/>
      <c r="I25" s="62"/>
      <c r="J25" s="62"/>
      <c r="K25" s="128"/>
    </row>
    <row r="26" spans="4:12" x14ac:dyDescent="0.2">
      <c r="D26" s="52"/>
      <c r="E26" s="52"/>
      <c r="F26" s="52"/>
      <c r="G26" s="52"/>
      <c r="H26" s="52"/>
      <c r="I26" s="52"/>
      <c r="J26" s="52"/>
      <c r="K26" s="27"/>
      <c r="L26" s="27" t="s">
        <v>29</v>
      </c>
    </row>
    <row r="29" spans="4:12" ht="13.5" thickBot="1" x14ac:dyDescent="0.25">
      <c r="D29" s="148" t="s">
        <v>46</v>
      </c>
      <c r="E29" s="126" t="s">
        <v>6</v>
      </c>
      <c r="F29" s="126" t="s">
        <v>3</v>
      </c>
      <c r="G29" s="126" t="s">
        <v>4</v>
      </c>
      <c r="H29" s="126" t="s">
        <v>14</v>
      </c>
      <c r="I29" s="126" t="s">
        <v>16</v>
      </c>
      <c r="J29" s="126" t="s">
        <v>95</v>
      </c>
      <c r="K29" s="178" t="s">
        <v>193</v>
      </c>
      <c r="L29" s="179"/>
    </row>
    <row r="30" spans="4:12" x14ac:dyDescent="0.2">
      <c r="D30" s="149" t="s">
        <v>8</v>
      </c>
      <c r="E30" s="133">
        <v>1754.3277499999999</v>
      </c>
      <c r="F30" s="133">
        <v>1787.1552300000001</v>
      </c>
      <c r="G30" s="133">
        <v>3072.0408299999999</v>
      </c>
      <c r="H30" s="133">
        <v>6342</v>
      </c>
      <c r="I30" s="133">
        <v>13304</v>
      </c>
      <c r="J30" s="133">
        <v>55512</v>
      </c>
      <c r="K30" s="134">
        <v>63585</v>
      </c>
      <c r="L30" s="135">
        <f>K30/$K$36</f>
        <v>8.6093091836693239E-2</v>
      </c>
    </row>
    <row r="31" spans="4:12" x14ac:dyDescent="0.2">
      <c r="D31" s="149" t="s">
        <v>9</v>
      </c>
      <c r="E31" s="133">
        <v>11947.257000000001</v>
      </c>
      <c r="F31" s="133">
        <v>3784.2071800000003</v>
      </c>
      <c r="G31" s="133">
        <v>7381.8541700000005</v>
      </c>
      <c r="H31" s="133">
        <v>10093</v>
      </c>
      <c r="I31" s="133">
        <v>11264</v>
      </c>
      <c r="J31" s="133">
        <v>55624</v>
      </c>
      <c r="K31" s="134">
        <v>52133</v>
      </c>
      <c r="L31" s="135">
        <f t="shared" ref="L31:L35" si="7">K31/$K$36</f>
        <v>7.0587263611265688E-2</v>
      </c>
    </row>
    <row r="32" spans="4:12" x14ac:dyDescent="0.2">
      <c r="D32" s="149" t="s">
        <v>10</v>
      </c>
      <c r="E32" s="133">
        <v>317688.88505000004</v>
      </c>
      <c r="F32" s="133">
        <v>301027.18516999995</v>
      </c>
      <c r="G32" s="133">
        <v>353119.78262999991</v>
      </c>
      <c r="H32" s="133">
        <v>296736</v>
      </c>
      <c r="I32" s="133">
        <v>271885</v>
      </c>
      <c r="J32" s="133">
        <v>324000</v>
      </c>
      <c r="K32" s="134">
        <v>337535</v>
      </c>
      <c r="L32" s="135">
        <f t="shared" si="7"/>
        <v>0.45701709134384294</v>
      </c>
    </row>
    <row r="33" spans="4:12" x14ac:dyDescent="0.2">
      <c r="D33" s="149" t="s">
        <v>11</v>
      </c>
      <c r="E33" s="133">
        <v>259911.57834000001</v>
      </c>
      <c r="F33" s="133">
        <v>354378.54846999998</v>
      </c>
      <c r="G33" s="133">
        <v>380743.04191000003</v>
      </c>
      <c r="H33" s="133">
        <v>363123</v>
      </c>
      <c r="I33" s="133">
        <v>301197</v>
      </c>
      <c r="J33" s="133">
        <v>305885</v>
      </c>
      <c r="K33" s="134">
        <v>270984</v>
      </c>
      <c r="L33" s="135">
        <f t="shared" si="7"/>
        <v>0.36690808206769648</v>
      </c>
    </row>
    <row r="34" spans="4:12" x14ac:dyDescent="0.2">
      <c r="D34" s="149" t="s">
        <v>63</v>
      </c>
      <c r="E34" s="133">
        <v>88362</v>
      </c>
      <c r="F34" s="133">
        <v>21373.307949999999</v>
      </c>
      <c r="G34" s="133">
        <v>26532.45349</v>
      </c>
      <c r="H34" s="133">
        <v>27990</v>
      </c>
      <c r="I34" s="133">
        <v>10359</v>
      </c>
      <c r="J34" s="133">
        <v>12740</v>
      </c>
      <c r="K34" s="134">
        <v>8171</v>
      </c>
      <c r="L34" s="135">
        <f t="shared" si="7"/>
        <v>1.1063405730873957E-2</v>
      </c>
    </row>
    <row r="35" spans="4:12" ht="13.5" thickBot="1" x14ac:dyDescent="0.25">
      <c r="D35" s="150" t="s">
        <v>64</v>
      </c>
      <c r="E35" s="133">
        <v>17281</v>
      </c>
      <c r="F35" s="133">
        <v>38446.88670000001</v>
      </c>
      <c r="G35" s="133">
        <v>30360</v>
      </c>
      <c r="H35" s="133">
        <v>17721</v>
      </c>
      <c r="I35" s="133">
        <v>10769</v>
      </c>
      <c r="J35" s="133">
        <v>6060</v>
      </c>
      <c r="K35" s="134">
        <v>6153</v>
      </c>
      <c r="L35" s="135">
        <f t="shared" si="7"/>
        <v>8.3310654096276412E-3</v>
      </c>
    </row>
    <row r="36" spans="4:12" ht="13.5" thickBot="1" x14ac:dyDescent="0.25">
      <c r="D36" s="144" t="s">
        <v>1</v>
      </c>
      <c r="E36" s="145">
        <f>SUM(E30:E35)</f>
        <v>696945.04814000009</v>
      </c>
      <c r="F36" s="145">
        <f t="shared" ref="F36:H36" si="8">SUM(F30:F35)</f>
        <v>720797.29070000001</v>
      </c>
      <c r="G36" s="145">
        <f t="shared" si="8"/>
        <v>801209.17302999995</v>
      </c>
      <c r="H36" s="145">
        <f t="shared" si="8"/>
        <v>722005</v>
      </c>
      <c r="I36" s="145">
        <f>SUM(I30:I35)</f>
        <v>618778</v>
      </c>
      <c r="J36" s="145">
        <f>SUM(J30:J35)</f>
        <v>759821</v>
      </c>
      <c r="K36" s="151">
        <f>SUM(K30:K35)</f>
        <v>738561</v>
      </c>
      <c r="L36" s="147">
        <f>SUM(L30:L35)</f>
        <v>1</v>
      </c>
    </row>
    <row r="37" spans="4:12" ht="9" customHeight="1" x14ac:dyDescent="0.2">
      <c r="D37" s="31"/>
      <c r="E37" s="62"/>
      <c r="F37" s="62"/>
      <c r="G37" s="62"/>
      <c r="H37" s="62"/>
      <c r="I37" s="62"/>
      <c r="J37" s="62"/>
      <c r="K37" s="128"/>
    </row>
    <row r="38" spans="4:12" x14ac:dyDescent="0.2">
      <c r="K38" s="27"/>
      <c r="L38" s="27" t="s">
        <v>29</v>
      </c>
    </row>
    <row r="41" spans="4:12" ht="13.5" thickBot="1" x14ac:dyDescent="0.25">
      <c r="D41" s="148" t="s">
        <v>57</v>
      </c>
      <c r="E41" s="126" t="s">
        <v>6</v>
      </c>
      <c r="F41" s="126" t="s">
        <v>3</v>
      </c>
      <c r="G41" s="126" t="s">
        <v>4</v>
      </c>
      <c r="H41" s="126" t="s">
        <v>14</v>
      </c>
      <c r="I41" s="126" t="s">
        <v>16</v>
      </c>
      <c r="J41" s="126" t="s">
        <v>95</v>
      </c>
      <c r="K41" s="178" t="s">
        <v>193</v>
      </c>
      <c r="L41" s="179"/>
    </row>
    <row r="42" spans="4:12" x14ac:dyDescent="0.2">
      <c r="D42" s="149" t="s">
        <v>65</v>
      </c>
      <c r="E42" s="133">
        <v>10300</v>
      </c>
      <c r="F42" s="133">
        <v>32761.487000000001</v>
      </c>
      <c r="G42" s="133">
        <v>20803</v>
      </c>
      <c r="H42" s="133">
        <v>43352</v>
      </c>
      <c r="I42" s="133">
        <v>46527</v>
      </c>
      <c r="J42" s="133">
        <v>45073</v>
      </c>
      <c r="K42" s="134">
        <v>46437</v>
      </c>
      <c r="L42" s="135">
        <f>K42/$K$53</f>
        <v>0.6128274496865721</v>
      </c>
    </row>
    <row r="43" spans="4:12" x14ac:dyDescent="0.2">
      <c r="D43" s="152" t="s">
        <v>58</v>
      </c>
      <c r="E43" s="133">
        <v>10300</v>
      </c>
      <c r="F43" s="133">
        <v>19416.487000000001</v>
      </c>
      <c r="G43" s="133">
        <v>19795</v>
      </c>
      <c r="H43" s="133">
        <v>19654</v>
      </c>
      <c r="I43" s="133">
        <v>30340</v>
      </c>
      <c r="J43" s="133">
        <v>29532</v>
      </c>
      <c r="K43" s="134">
        <v>30333</v>
      </c>
      <c r="L43" s="135">
        <f t="shared" ref="L43:L52" si="9">K43/$K$53</f>
        <v>0.40030353018805676</v>
      </c>
    </row>
    <row r="44" spans="4:12" x14ac:dyDescent="0.2">
      <c r="D44" s="149" t="s">
        <v>66</v>
      </c>
      <c r="E44" s="133">
        <v>9142</v>
      </c>
      <c r="F44" s="133">
        <v>5850.9550600000002</v>
      </c>
      <c r="G44" s="133">
        <v>18320</v>
      </c>
      <c r="H44" s="133">
        <v>5778</v>
      </c>
      <c r="I44" s="133">
        <v>5355</v>
      </c>
      <c r="J44" s="133">
        <v>5001</v>
      </c>
      <c r="K44" s="134">
        <v>5757</v>
      </c>
      <c r="L44" s="135">
        <f t="shared" si="9"/>
        <v>7.597492576707357E-2</v>
      </c>
    </row>
    <row r="45" spans="4:12" x14ac:dyDescent="0.2">
      <c r="D45" s="149" t="s">
        <v>67</v>
      </c>
      <c r="E45" s="133">
        <v>5385</v>
      </c>
      <c r="F45" s="133">
        <v>5567.7613636297901</v>
      </c>
      <c r="G45" s="133">
        <v>5304</v>
      </c>
      <c r="H45" s="133">
        <v>5461</v>
      </c>
      <c r="I45" s="133">
        <v>3350</v>
      </c>
      <c r="J45" s="133">
        <v>2560</v>
      </c>
      <c r="K45" s="134">
        <v>6965</v>
      </c>
      <c r="L45" s="135">
        <f t="shared" si="9"/>
        <v>9.1916859122401842E-2</v>
      </c>
    </row>
    <row r="46" spans="4:12" x14ac:dyDescent="0.2">
      <c r="D46" s="149" t="s">
        <v>12</v>
      </c>
      <c r="E46" s="133">
        <v>4490</v>
      </c>
      <c r="F46" s="133">
        <v>4964.6156432375501</v>
      </c>
      <c r="G46" s="133">
        <v>6155</v>
      </c>
      <c r="H46" s="133">
        <v>10515</v>
      </c>
      <c r="I46" s="133">
        <v>6466</v>
      </c>
      <c r="J46" s="133">
        <v>2592</v>
      </c>
      <c r="K46" s="134">
        <v>4770</v>
      </c>
      <c r="L46" s="135">
        <f t="shared" si="9"/>
        <v>6.2949521610029688E-2</v>
      </c>
    </row>
    <row r="47" spans="4:12" x14ac:dyDescent="0.2">
      <c r="D47" s="149" t="s">
        <v>68</v>
      </c>
      <c r="E47" s="133">
        <v>1336</v>
      </c>
      <c r="F47" s="133">
        <v>3889.5391</v>
      </c>
      <c r="G47" s="133">
        <v>1302</v>
      </c>
      <c r="H47" s="133">
        <v>1410</v>
      </c>
      <c r="I47" s="133">
        <v>2716</v>
      </c>
      <c r="J47" s="133">
        <v>1638</v>
      </c>
      <c r="K47" s="134">
        <v>2300</v>
      </c>
      <c r="L47" s="135">
        <f t="shared" si="9"/>
        <v>3.0353018805674696E-2</v>
      </c>
    </row>
    <row r="48" spans="4:12" x14ac:dyDescent="0.2">
      <c r="D48" s="149" t="s">
        <v>69</v>
      </c>
      <c r="E48" s="133">
        <v>4544</v>
      </c>
      <c r="F48" s="133">
        <v>3702.924</v>
      </c>
      <c r="G48" s="133">
        <v>3394</v>
      </c>
      <c r="H48" s="136">
        <v>0</v>
      </c>
      <c r="I48" s="136">
        <v>0</v>
      </c>
      <c r="J48" s="136">
        <v>0</v>
      </c>
      <c r="K48" s="134">
        <v>0</v>
      </c>
      <c r="L48" s="135">
        <f t="shared" si="9"/>
        <v>0</v>
      </c>
    </row>
    <row r="49" spans="4:12" x14ac:dyDescent="0.2">
      <c r="D49" s="149" t="s">
        <v>70</v>
      </c>
      <c r="E49" s="133">
        <v>3986</v>
      </c>
      <c r="F49" s="133">
        <v>1169.0634</v>
      </c>
      <c r="G49" s="136">
        <v>0</v>
      </c>
      <c r="H49" s="136">
        <v>1454</v>
      </c>
      <c r="I49" s="136">
        <v>1833</v>
      </c>
      <c r="J49" s="136">
        <v>2936</v>
      </c>
      <c r="K49" s="134">
        <v>4723</v>
      </c>
      <c r="L49" s="135">
        <f t="shared" si="9"/>
        <v>6.2329264269218081E-2</v>
      </c>
    </row>
    <row r="50" spans="4:12" x14ac:dyDescent="0.2">
      <c r="D50" s="149" t="s">
        <v>71</v>
      </c>
      <c r="E50" s="133">
        <v>4202</v>
      </c>
      <c r="F50" s="133">
        <v>1159.7223603899999</v>
      </c>
      <c r="G50" s="133">
        <v>3612</v>
      </c>
      <c r="H50" s="133">
        <v>5293</v>
      </c>
      <c r="I50" s="133">
        <v>3084</v>
      </c>
      <c r="J50" s="133">
        <v>2108</v>
      </c>
      <c r="K50" s="134">
        <v>2354</v>
      </c>
      <c r="L50" s="135">
        <f t="shared" si="9"/>
        <v>3.1065654899373144E-2</v>
      </c>
    </row>
    <row r="51" spans="4:12" x14ac:dyDescent="0.2">
      <c r="D51" s="149" t="s">
        <v>72</v>
      </c>
      <c r="E51" s="133">
        <v>1709</v>
      </c>
      <c r="F51" s="133">
        <v>164.73599999999999</v>
      </c>
      <c r="G51" s="133">
        <v>1137</v>
      </c>
      <c r="H51" s="133">
        <v>1333</v>
      </c>
      <c r="I51" s="133">
        <v>2223</v>
      </c>
      <c r="J51" s="133">
        <v>1229</v>
      </c>
      <c r="K51" s="134">
        <v>1500</v>
      </c>
      <c r="L51" s="135">
        <f t="shared" si="9"/>
        <v>1.979544704717915E-2</v>
      </c>
    </row>
    <row r="52" spans="4:12" ht="13.5" thickBot="1" x14ac:dyDescent="0.25">
      <c r="D52" s="150" t="s">
        <v>73</v>
      </c>
      <c r="E52" s="136">
        <v>0</v>
      </c>
      <c r="F52" s="136">
        <v>0</v>
      </c>
      <c r="G52" s="133">
        <v>509</v>
      </c>
      <c r="H52" s="133">
        <v>641</v>
      </c>
      <c r="I52" s="133">
        <v>520</v>
      </c>
      <c r="J52" s="133">
        <v>415</v>
      </c>
      <c r="K52" s="134">
        <v>969</v>
      </c>
      <c r="L52" s="135">
        <f t="shared" si="9"/>
        <v>1.278785879247773E-2</v>
      </c>
    </row>
    <row r="53" spans="4:12" ht="13.5" thickBot="1" x14ac:dyDescent="0.25">
      <c r="D53" s="144" t="s">
        <v>1</v>
      </c>
      <c r="E53" s="145">
        <f t="shared" ref="E53" si="10">SUM(E42,E44:E52)</f>
        <v>45094</v>
      </c>
      <c r="F53" s="145">
        <f>SUM(F42,F44:F52)</f>
        <v>59230.803927257337</v>
      </c>
      <c r="G53" s="145">
        <f t="shared" ref="G53:H53" si="11">SUM(G42,G44:G52)</f>
        <v>60536</v>
      </c>
      <c r="H53" s="145">
        <f t="shared" si="11"/>
        <v>75237</v>
      </c>
      <c r="I53" s="145">
        <f t="shared" ref="I53:L53" si="12">SUM(I42,I44:I52)</f>
        <v>72074</v>
      </c>
      <c r="J53" s="145">
        <f t="shared" si="12"/>
        <v>63552</v>
      </c>
      <c r="K53" s="151">
        <f t="shared" si="12"/>
        <v>75775</v>
      </c>
      <c r="L53" s="147">
        <f t="shared" si="12"/>
        <v>0.99999999999999989</v>
      </c>
    </row>
    <row r="54" spans="4:12" ht="9" customHeight="1" x14ac:dyDescent="0.2">
      <c r="D54" s="31"/>
      <c r="E54" s="62"/>
      <c r="F54" s="62"/>
      <c r="G54" s="62"/>
      <c r="H54" s="62"/>
      <c r="I54" s="62"/>
      <c r="J54" s="62"/>
      <c r="K54" s="128"/>
    </row>
    <row r="55" spans="4:12" x14ac:dyDescent="0.2">
      <c r="K55" s="27"/>
      <c r="L55" s="27" t="s">
        <v>29</v>
      </c>
    </row>
  </sheetData>
  <mergeCells count="3">
    <mergeCell ref="K4:L4"/>
    <mergeCell ref="K29:L29"/>
    <mergeCell ref="K41:L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K36:L41 L30 L31 L32 L33 L34 L35 K48:L48 L42 L43 L44 L45 L46 L47 K53:L53 L49 L50 L51 L52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K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1" width="13.42578125" style="73" customWidth="1"/>
    <col min="12" max="16384" width="11.42578125" style="73"/>
  </cols>
  <sheetData>
    <row r="1" spans="2:11" ht="16.5" customHeight="1" x14ac:dyDescent="0.2"/>
    <row r="2" spans="2:11" ht="18.75" customHeight="1" thickBot="1" x14ac:dyDescent="0.25">
      <c r="B2" s="11" t="s">
        <v>27</v>
      </c>
      <c r="D2" s="14" t="s">
        <v>31</v>
      </c>
      <c r="E2" s="14"/>
      <c r="F2" s="14"/>
      <c r="G2" s="14"/>
      <c r="H2" s="14"/>
      <c r="I2" s="14"/>
      <c r="J2" s="14"/>
      <c r="K2" s="14"/>
    </row>
    <row r="4" spans="2:11" ht="16.5" customHeight="1" thickBot="1" x14ac:dyDescent="0.25">
      <c r="D4" s="153"/>
      <c r="E4" s="33" t="s">
        <v>6</v>
      </c>
      <c r="F4" s="33" t="s">
        <v>3</v>
      </c>
      <c r="G4" s="33" t="s">
        <v>4</v>
      </c>
      <c r="H4" s="33" t="s">
        <v>14</v>
      </c>
      <c r="I4" s="33" t="s">
        <v>16</v>
      </c>
      <c r="J4" s="33" t="s">
        <v>95</v>
      </c>
      <c r="K4" s="34" t="s">
        <v>193</v>
      </c>
    </row>
    <row r="5" spans="2:11" x14ac:dyDescent="0.2">
      <c r="D5" s="154" t="s">
        <v>74</v>
      </c>
      <c r="E5" s="155">
        <v>167878</v>
      </c>
      <c r="F5" s="155">
        <v>161007</v>
      </c>
      <c r="G5" s="155">
        <v>161004</v>
      </c>
      <c r="H5" s="155">
        <v>171657</v>
      </c>
      <c r="I5" s="155">
        <v>172651</v>
      </c>
      <c r="J5" s="155">
        <v>192387</v>
      </c>
      <c r="K5" s="39">
        <v>195555</v>
      </c>
    </row>
    <row r="6" spans="2:11" x14ac:dyDescent="0.2">
      <c r="D6" s="154" t="s">
        <v>75</v>
      </c>
      <c r="E6" s="155">
        <v>94357</v>
      </c>
      <c r="F6" s="155">
        <v>104548</v>
      </c>
      <c r="G6" s="155">
        <v>113510</v>
      </c>
      <c r="H6" s="155">
        <v>132271</v>
      </c>
      <c r="I6" s="155">
        <v>91899</v>
      </c>
      <c r="J6" s="155">
        <v>91493</v>
      </c>
      <c r="K6" s="39">
        <v>99594</v>
      </c>
    </row>
    <row r="7" spans="2:11" x14ac:dyDescent="0.2">
      <c r="D7" s="154" t="s">
        <v>76</v>
      </c>
      <c r="E7" s="155">
        <v>15833</v>
      </c>
      <c r="F7" s="155">
        <v>15886</v>
      </c>
      <c r="G7" s="155">
        <v>15291</v>
      </c>
      <c r="H7" s="155">
        <v>13086</v>
      </c>
      <c r="I7" s="155">
        <v>7027</v>
      </c>
      <c r="J7" s="155">
        <v>6076</v>
      </c>
      <c r="K7" s="39">
        <v>6470</v>
      </c>
    </row>
    <row r="8" spans="2:11" x14ac:dyDescent="0.2">
      <c r="D8" s="154" t="s">
        <v>77</v>
      </c>
      <c r="E8" s="155">
        <v>1436</v>
      </c>
      <c r="F8" s="155">
        <v>2233</v>
      </c>
      <c r="G8" s="155">
        <v>2778</v>
      </c>
      <c r="H8" s="155">
        <v>3134</v>
      </c>
      <c r="I8" s="155">
        <v>3142</v>
      </c>
      <c r="J8" s="155">
        <v>3499</v>
      </c>
      <c r="K8" s="39">
        <v>3462</v>
      </c>
    </row>
    <row r="9" spans="2:11" x14ac:dyDescent="0.2">
      <c r="D9" s="154" t="s">
        <v>78</v>
      </c>
      <c r="E9" s="156">
        <v>-58725</v>
      </c>
      <c r="F9" s="156">
        <v>-62201</v>
      </c>
      <c r="G9" s="156">
        <v>-65218</v>
      </c>
      <c r="H9" s="156">
        <f>H10-SUM(H5:H8)</f>
        <v>-71482</v>
      </c>
      <c r="I9" s="156">
        <f>I10-SUM(I5:I8)</f>
        <v>-55772</v>
      </c>
      <c r="J9" s="156">
        <f>J10-SUM(J5:J8)</f>
        <v>-57125</v>
      </c>
      <c r="K9" s="39">
        <f>K10-SUM(K5:K8)</f>
        <v>-60696</v>
      </c>
    </row>
    <row r="10" spans="2:11" x14ac:dyDescent="0.2">
      <c r="D10" s="157" t="s">
        <v>79</v>
      </c>
      <c r="E10" s="158">
        <v>220779</v>
      </c>
      <c r="F10" s="158">
        <v>221473</v>
      </c>
      <c r="G10" s="158">
        <v>227365</v>
      </c>
      <c r="H10" s="158">
        <v>248666</v>
      </c>
      <c r="I10" s="158">
        <v>218947</v>
      </c>
      <c r="J10" s="158">
        <v>236330</v>
      </c>
      <c r="K10" s="36">
        <v>244385</v>
      </c>
    </row>
    <row r="11" spans="2:11" x14ac:dyDescent="0.2">
      <c r="D11" s="154" t="s">
        <v>80</v>
      </c>
      <c r="E11" s="155">
        <v>24796</v>
      </c>
      <c r="F11" s="155">
        <v>26092</v>
      </c>
      <c r="G11" s="155">
        <v>26935</v>
      </c>
      <c r="H11" s="155">
        <v>27166</v>
      </c>
      <c r="I11" s="155">
        <v>27795</v>
      </c>
      <c r="J11" s="155">
        <v>28812</v>
      </c>
      <c r="K11" s="39">
        <v>29043</v>
      </c>
    </row>
    <row r="12" spans="2:11" ht="13.5" thickBot="1" x14ac:dyDescent="0.25">
      <c r="D12" s="154" t="s">
        <v>81</v>
      </c>
      <c r="E12" s="156">
        <v>-61394</v>
      </c>
      <c r="F12" s="156">
        <v>-61891</v>
      </c>
      <c r="G12" s="156">
        <v>-63575</v>
      </c>
      <c r="H12" s="156">
        <v>-68958</v>
      </c>
      <c r="I12" s="156">
        <v>-61685</v>
      </c>
      <c r="J12" s="156">
        <v>-66285</v>
      </c>
      <c r="K12" s="39">
        <v>-68357</v>
      </c>
    </row>
    <row r="13" spans="2:11" ht="13.5" thickBot="1" x14ac:dyDescent="0.25">
      <c r="D13" s="144" t="s">
        <v>82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1">
        <v>198857</v>
      </c>
      <c r="K13" s="42">
        <v>205071</v>
      </c>
    </row>
    <row r="14" spans="2:11" ht="9" customHeight="1" x14ac:dyDescent="0.2">
      <c r="D14" s="31"/>
      <c r="E14" s="62"/>
      <c r="F14" s="62"/>
      <c r="G14" s="62"/>
      <c r="H14" s="62"/>
      <c r="I14" s="62"/>
      <c r="J14" s="62"/>
      <c r="K14" s="154"/>
    </row>
    <row r="15" spans="2:11" x14ac:dyDescent="0.2">
      <c r="D15" s="154"/>
      <c r="E15" s="154"/>
      <c r="F15" s="154"/>
      <c r="G15" s="154"/>
      <c r="J15" s="27"/>
      <c r="K15" s="27" t="s">
        <v>29</v>
      </c>
    </row>
    <row r="16" spans="2:11" x14ac:dyDescent="0.2">
      <c r="D16" s="154"/>
      <c r="E16" s="154"/>
      <c r="F16" s="154"/>
      <c r="G16" s="154"/>
      <c r="H16" s="154"/>
      <c r="I16" s="154"/>
      <c r="J16" s="154"/>
      <c r="K16" s="154"/>
    </row>
    <row r="17" spans="4:11" x14ac:dyDescent="0.2">
      <c r="D17" s="154"/>
      <c r="E17" s="154"/>
      <c r="F17" s="154"/>
      <c r="G17" s="154"/>
      <c r="H17" s="154"/>
      <c r="I17" s="154"/>
      <c r="J17" s="154"/>
      <c r="K17" s="154"/>
    </row>
    <row r="18" spans="4:11" ht="13.5" thickBot="1" x14ac:dyDescent="0.25">
      <c r="D18" s="153"/>
      <c r="E18" s="33" t="s">
        <v>6</v>
      </c>
      <c r="F18" s="33" t="s">
        <v>3</v>
      </c>
      <c r="G18" s="33" t="s">
        <v>4</v>
      </c>
      <c r="H18" s="33" t="s">
        <v>14</v>
      </c>
      <c r="I18" s="33" t="s">
        <v>16</v>
      </c>
      <c r="J18" s="33" t="s">
        <v>95</v>
      </c>
      <c r="K18" s="34" t="s">
        <v>193</v>
      </c>
    </row>
    <row r="19" spans="4:11" x14ac:dyDescent="0.2">
      <c r="D19" s="157" t="s">
        <v>83</v>
      </c>
      <c r="E19" s="158">
        <v>82881</v>
      </c>
      <c r="F19" s="158">
        <v>83553</v>
      </c>
      <c r="G19" s="158">
        <v>85826</v>
      </c>
      <c r="H19" s="158">
        <v>93093</v>
      </c>
      <c r="I19" s="158">
        <v>83275</v>
      </c>
      <c r="J19" s="158">
        <v>89485</v>
      </c>
      <c r="K19" s="36">
        <v>92282</v>
      </c>
    </row>
    <row r="20" spans="4:11" x14ac:dyDescent="0.2">
      <c r="D20" s="157" t="s">
        <v>82</v>
      </c>
      <c r="E20" s="158">
        <f t="shared" ref="E20" si="0">+E13</f>
        <v>184181</v>
      </c>
      <c r="F20" s="158">
        <f t="shared" ref="F20:K20" si="1">+F13</f>
        <v>185674</v>
      </c>
      <c r="G20" s="158">
        <f t="shared" si="1"/>
        <v>190725</v>
      </c>
      <c r="H20" s="158">
        <f t="shared" si="1"/>
        <v>206874</v>
      </c>
      <c r="I20" s="158">
        <f t="shared" si="1"/>
        <v>185057</v>
      </c>
      <c r="J20" s="158">
        <f t="shared" si="1"/>
        <v>198857</v>
      </c>
      <c r="K20" s="36">
        <f t="shared" si="1"/>
        <v>205071</v>
      </c>
    </row>
    <row r="21" spans="4:11" x14ac:dyDescent="0.2">
      <c r="D21" s="157"/>
      <c r="E21" s="158"/>
      <c r="F21" s="158"/>
      <c r="G21" s="158"/>
      <c r="H21" s="158"/>
      <c r="I21" s="158"/>
      <c r="J21" s="158"/>
      <c r="K21" s="36"/>
    </row>
    <row r="22" spans="4:11" x14ac:dyDescent="0.2">
      <c r="D22" s="157" t="s">
        <v>84</v>
      </c>
      <c r="E22" s="158">
        <v>385270.20790162636</v>
      </c>
      <c r="F22" s="158">
        <v>391162.2635219369</v>
      </c>
      <c r="G22" s="158">
        <f>526011.113113886-120000</f>
        <v>406011.11311388598</v>
      </c>
      <c r="H22" s="158">
        <v>384082.53742492298</v>
      </c>
      <c r="I22" s="158">
        <v>347530.79890801519</v>
      </c>
      <c r="J22" s="158">
        <v>358001.8760363349</v>
      </c>
      <c r="K22" s="36">
        <v>375025.81959148002</v>
      </c>
    </row>
    <row r="23" spans="4:11" x14ac:dyDescent="0.2">
      <c r="D23" s="159" t="s">
        <v>85</v>
      </c>
      <c r="E23" s="160">
        <v>1</v>
      </c>
      <c r="F23" s="160">
        <v>1</v>
      </c>
      <c r="G23" s="160">
        <v>1</v>
      </c>
      <c r="H23" s="160">
        <v>1</v>
      </c>
      <c r="I23" s="160">
        <v>1</v>
      </c>
      <c r="J23" s="160">
        <v>1</v>
      </c>
      <c r="K23" s="161">
        <v>1</v>
      </c>
    </row>
    <row r="24" spans="4:11" ht="13.5" thickBot="1" x14ac:dyDescent="0.25">
      <c r="D24" s="157"/>
      <c r="E24" s="158"/>
      <c r="F24" s="158"/>
      <c r="G24" s="158"/>
      <c r="H24" s="158"/>
      <c r="I24" s="158"/>
      <c r="J24" s="158"/>
      <c r="K24" s="36"/>
    </row>
    <row r="25" spans="4:11" x14ac:dyDescent="0.2">
      <c r="D25" s="137" t="s">
        <v>86</v>
      </c>
      <c r="E25" s="162">
        <f t="shared" ref="E25" si="2">+E22/E19</f>
        <v>4.6484744139383736</v>
      </c>
      <c r="F25" s="162">
        <f t="shared" ref="F25:J25" si="3">+F22/F19</f>
        <v>4.6816064476671917</v>
      </c>
      <c r="G25" s="162">
        <f t="shared" si="3"/>
        <v>4.7306307309426741</v>
      </c>
      <c r="H25" s="162">
        <f t="shared" si="3"/>
        <v>4.1257939632939422</v>
      </c>
      <c r="I25" s="162">
        <f t="shared" si="3"/>
        <v>4.1732908905195458</v>
      </c>
      <c r="J25" s="162">
        <f t="shared" si="3"/>
        <v>4.0006914682498174</v>
      </c>
      <c r="K25" s="163">
        <f t="shared" ref="K25" si="4">+K22/K19</f>
        <v>4.0639108340898549</v>
      </c>
    </row>
    <row r="26" spans="4:11" ht="13.5" thickBot="1" x14ac:dyDescent="0.25">
      <c r="D26" s="141" t="s">
        <v>87</v>
      </c>
      <c r="E26" s="164">
        <f t="shared" ref="E26:J26" si="5">+E22/E13</f>
        <v>2.0918021288929172</v>
      </c>
      <c r="F26" s="164">
        <f t="shared" si="5"/>
        <v>2.1067153372143483</v>
      </c>
      <c r="G26" s="164">
        <f t="shared" si="5"/>
        <v>2.1287776280712332</v>
      </c>
      <c r="H26" s="164">
        <f t="shared" si="5"/>
        <v>1.8566013004288744</v>
      </c>
      <c r="I26" s="164">
        <f t="shared" si="5"/>
        <v>1.8779662423362271</v>
      </c>
      <c r="J26" s="164">
        <f t="shared" si="5"/>
        <v>1.8002980837301925</v>
      </c>
      <c r="K26" s="165">
        <f t="shared" ref="K26" si="6">+K22/K13</f>
        <v>1.8287608661950252</v>
      </c>
    </row>
    <row r="27" spans="4:11" ht="9" customHeight="1" x14ac:dyDescent="0.2">
      <c r="D27" s="31"/>
      <c r="E27" s="62"/>
      <c r="F27" s="62"/>
      <c r="G27" s="62"/>
      <c r="H27" s="62"/>
      <c r="I27" s="62"/>
      <c r="J27" s="62"/>
      <c r="K27" s="166"/>
    </row>
    <row r="28" spans="4:11" x14ac:dyDescent="0.2">
      <c r="D28" s="154"/>
      <c r="E28" s="154"/>
      <c r="F28" s="154"/>
      <c r="G28" s="154"/>
      <c r="J28" s="27"/>
      <c r="K28" s="27" t="s">
        <v>29</v>
      </c>
    </row>
    <row r="30" spans="4:11" x14ac:dyDescent="0.2">
      <c r="K30" s="167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G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7" width="13.28515625" style="13" customWidth="1"/>
    <col min="8" max="16384" width="11.42578125" style="13"/>
  </cols>
  <sheetData>
    <row r="1" spans="2:7" ht="16.5" customHeight="1" x14ac:dyDescent="0.25">
      <c r="B1" s="12"/>
    </row>
    <row r="2" spans="2:7" ht="18.75" customHeight="1" thickBot="1" x14ac:dyDescent="0.3">
      <c r="B2" s="11" t="s">
        <v>27</v>
      </c>
      <c r="D2" s="14" t="s">
        <v>33</v>
      </c>
      <c r="E2" s="15"/>
      <c r="F2" s="15"/>
      <c r="G2" s="15"/>
    </row>
    <row r="4" spans="2:7" ht="15.75" customHeight="1" thickBot="1" x14ac:dyDescent="0.3">
      <c r="D4" s="16" t="s">
        <v>28</v>
      </c>
      <c r="E4" s="17" t="s">
        <v>16</v>
      </c>
      <c r="F4" s="17" t="s">
        <v>95</v>
      </c>
      <c r="G4" s="18" t="s">
        <v>193</v>
      </c>
    </row>
    <row r="5" spans="2:7" ht="15.75" customHeight="1" x14ac:dyDescent="0.25">
      <c r="D5" s="19" t="s">
        <v>150</v>
      </c>
      <c r="E5" s="20">
        <v>51661</v>
      </c>
      <c r="F5" s="20">
        <v>41746</v>
      </c>
      <c r="G5" s="21">
        <v>64435</v>
      </c>
    </row>
    <row r="6" spans="2:7" ht="15.75" customHeight="1" x14ac:dyDescent="0.25">
      <c r="D6" s="19" t="s">
        <v>151</v>
      </c>
      <c r="E6" s="20">
        <f>E7</f>
        <v>48818</v>
      </c>
      <c r="F6" s="20">
        <f>F7</f>
        <v>53998</v>
      </c>
      <c r="G6" s="21">
        <f>G7</f>
        <v>55274</v>
      </c>
    </row>
    <row r="7" spans="2:7" ht="15.75" customHeight="1" x14ac:dyDescent="0.25">
      <c r="D7" s="22" t="s">
        <v>152</v>
      </c>
      <c r="E7" s="20">
        <v>48818</v>
      </c>
      <c r="F7" s="20">
        <v>53998</v>
      </c>
      <c r="G7" s="21">
        <v>55274</v>
      </c>
    </row>
    <row r="8" spans="2:7" ht="15.75" customHeight="1" x14ac:dyDescent="0.25">
      <c r="D8" s="19" t="s">
        <v>153</v>
      </c>
      <c r="E8" s="20">
        <f>SUM(E9,E10)</f>
        <v>690846</v>
      </c>
      <c r="F8" s="20">
        <f>SUM(F9,F10)</f>
        <v>823345</v>
      </c>
      <c r="G8" s="21">
        <f>SUM(G9,G10)</f>
        <v>814308</v>
      </c>
    </row>
    <row r="9" spans="2:7" ht="15.75" customHeight="1" x14ac:dyDescent="0.25">
      <c r="D9" s="22" t="s">
        <v>152</v>
      </c>
      <c r="E9" s="20">
        <v>72068</v>
      </c>
      <c r="F9" s="20">
        <v>63524</v>
      </c>
      <c r="G9" s="21">
        <v>75747</v>
      </c>
    </row>
    <row r="10" spans="2:7" ht="15.75" customHeight="1" x14ac:dyDescent="0.25">
      <c r="D10" s="22" t="s">
        <v>154</v>
      </c>
      <c r="E10" s="20">
        <v>618778</v>
      </c>
      <c r="F10" s="20">
        <v>759821</v>
      </c>
      <c r="G10" s="21">
        <v>738561</v>
      </c>
    </row>
    <row r="11" spans="2:7" ht="15.75" customHeight="1" x14ac:dyDescent="0.25">
      <c r="D11" s="19" t="s">
        <v>155</v>
      </c>
      <c r="E11" s="20">
        <v>22373</v>
      </c>
      <c r="F11" s="20">
        <v>15456</v>
      </c>
      <c r="G11" s="21">
        <v>15803</v>
      </c>
    </row>
    <row r="12" spans="2:7" ht="15.75" customHeight="1" x14ac:dyDescent="0.25">
      <c r="D12" s="19" t="s">
        <v>156</v>
      </c>
      <c r="E12" s="20">
        <v>7808</v>
      </c>
      <c r="F12" s="20">
        <v>5909</v>
      </c>
      <c r="G12" s="21">
        <v>5147</v>
      </c>
    </row>
    <row r="13" spans="2:7" ht="15.75" customHeight="1" x14ac:dyDescent="0.25">
      <c r="D13" s="19" t="s">
        <v>157</v>
      </c>
      <c r="E13" s="20">
        <v>21957</v>
      </c>
      <c r="F13" s="20">
        <v>31939</v>
      </c>
      <c r="G13" s="21">
        <v>31100</v>
      </c>
    </row>
    <row r="14" spans="2:7" ht="15.75" customHeight="1" x14ac:dyDescent="0.25">
      <c r="D14" s="19" t="s">
        <v>158</v>
      </c>
      <c r="E14" s="20">
        <f>SUM(E15,E16)</f>
        <v>110044</v>
      </c>
      <c r="F14" s="20">
        <f>SUM(F15,F16)</f>
        <v>101600</v>
      </c>
      <c r="G14" s="21">
        <f>SUM(G15,G16)</f>
        <v>100918</v>
      </c>
    </row>
    <row r="15" spans="2:7" ht="15.75" customHeight="1" x14ac:dyDescent="0.25">
      <c r="D15" s="22" t="s">
        <v>159</v>
      </c>
      <c r="E15" s="20">
        <v>45368</v>
      </c>
      <c r="F15" s="20">
        <v>43077</v>
      </c>
      <c r="G15" s="21">
        <v>42556</v>
      </c>
    </row>
    <row r="16" spans="2:7" ht="15.75" customHeight="1" x14ac:dyDescent="0.25">
      <c r="D16" s="22" t="s">
        <v>160</v>
      </c>
      <c r="E16" s="20">
        <v>64676</v>
      </c>
      <c r="F16" s="20">
        <v>58523</v>
      </c>
      <c r="G16" s="21">
        <v>58362</v>
      </c>
    </row>
    <row r="17" spans="4:7" ht="15.75" customHeight="1" x14ac:dyDescent="0.25">
      <c r="D17" s="19" t="s">
        <v>161</v>
      </c>
      <c r="E17" s="20">
        <v>14482</v>
      </c>
      <c r="F17" s="20">
        <v>29188</v>
      </c>
      <c r="G17" s="21">
        <v>30864</v>
      </c>
    </row>
    <row r="18" spans="4:7" s="10" customFormat="1" ht="15.75" customHeight="1" thickBot="1" x14ac:dyDescent="0.3">
      <c r="D18" s="23" t="s">
        <v>162</v>
      </c>
      <c r="E18" s="20">
        <v>34437</v>
      </c>
      <c r="F18" s="20">
        <v>22141</v>
      </c>
      <c r="G18" s="24">
        <v>24743</v>
      </c>
    </row>
    <row r="19" spans="4:7" s="10" customFormat="1" ht="15.75" customHeight="1" thickBot="1" x14ac:dyDescent="0.3">
      <c r="D19" s="25" t="s">
        <v>163</v>
      </c>
      <c r="E19" s="29">
        <f>SUM(E5,E6,E8,E11,E12,E13,E14,E17,E18)</f>
        <v>1002426</v>
      </c>
      <c r="F19" s="29">
        <f>SUM(F5,F6,F8,F11,F12,F13,F14,F17,F18)</f>
        <v>1125322</v>
      </c>
      <c r="G19" s="26">
        <f>SUM(G5,G6,G8,G11,G12,G13,G14,G17,G18)</f>
        <v>1142592</v>
      </c>
    </row>
    <row r="20" spans="4:7" ht="6.75" customHeight="1" x14ac:dyDescent="0.25"/>
    <row r="21" spans="4:7" x14ac:dyDescent="0.25">
      <c r="E21" s="27"/>
      <c r="F21" s="27"/>
      <c r="G21" s="27" t="s">
        <v>29</v>
      </c>
    </row>
    <row r="24" spans="4:7" ht="15.75" customHeight="1" thickBot="1" x14ac:dyDescent="0.3">
      <c r="D24" s="16" t="s">
        <v>42</v>
      </c>
      <c r="E24" s="17" t="s">
        <v>16</v>
      </c>
      <c r="F24" s="17" t="s">
        <v>95</v>
      </c>
      <c r="G24" s="18" t="s">
        <v>193</v>
      </c>
    </row>
    <row r="25" spans="4:7" ht="15.75" customHeight="1" x14ac:dyDescent="0.25">
      <c r="D25" s="19" t="s">
        <v>164</v>
      </c>
      <c r="E25" s="20">
        <v>59288</v>
      </c>
      <c r="F25" s="20">
        <v>65313</v>
      </c>
      <c r="G25" s="21">
        <v>66258</v>
      </c>
    </row>
    <row r="26" spans="4:7" ht="15.75" customHeight="1" x14ac:dyDescent="0.25">
      <c r="D26" s="19" t="s">
        <v>156</v>
      </c>
      <c r="E26" s="20">
        <v>0</v>
      </c>
      <c r="F26" s="20">
        <v>0</v>
      </c>
      <c r="G26" s="21">
        <v>0</v>
      </c>
    </row>
    <row r="27" spans="4:7" ht="15.75" customHeight="1" x14ac:dyDescent="0.25">
      <c r="D27" s="19" t="s">
        <v>165</v>
      </c>
      <c r="E27" s="20">
        <f>SUM(E28,E29)</f>
        <v>610281</v>
      </c>
      <c r="F27" s="20">
        <f>SUM(F28,F29)</f>
        <v>715311</v>
      </c>
      <c r="G27" s="21">
        <f>SUM(G28,G29)</f>
        <v>714009</v>
      </c>
    </row>
    <row r="28" spans="4:7" ht="15.75" customHeight="1" x14ac:dyDescent="0.25">
      <c r="D28" s="22" t="s">
        <v>173</v>
      </c>
      <c r="E28" s="20">
        <v>325056</v>
      </c>
      <c r="F28" s="20">
        <v>339352</v>
      </c>
      <c r="G28" s="21">
        <v>340813</v>
      </c>
    </row>
    <row r="29" spans="4:7" ht="15.75" customHeight="1" x14ac:dyDescent="0.25">
      <c r="D29" s="22" t="s">
        <v>174</v>
      </c>
      <c r="E29" s="20">
        <v>285225</v>
      </c>
      <c r="F29" s="20">
        <v>375959</v>
      </c>
      <c r="G29" s="21">
        <v>373196</v>
      </c>
    </row>
    <row r="30" spans="4:7" ht="15.75" customHeight="1" x14ac:dyDescent="0.25">
      <c r="D30" s="19" t="s">
        <v>166</v>
      </c>
      <c r="E30" s="20">
        <v>780</v>
      </c>
      <c r="F30" s="20">
        <v>375</v>
      </c>
      <c r="G30" s="21">
        <v>898</v>
      </c>
    </row>
    <row r="31" spans="4:7" ht="15.75" customHeight="1" thickBot="1" x14ac:dyDescent="0.3">
      <c r="D31" s="19" t="s">
        <v>167</v>
      </c>
      <c r="E31" s="20">
        <v>31746</v>
      </c>
      <c r="F31" s="20">
        <v>31288</v>
      </c>
      <c r="G31" s="21">
        <v>35912</v>
      </c>
    </row>
    <row r="32" spans="4:7" ht="15.75" customHeight="1" thickBot="1" x14ac:dyDescent="0.3">
      <c r="D32" s="28" t="s">
        <v>43</v>
      </c>
      <c r="E32" s="29">
        <f>SUM(E25,E26,E27,E30,E31)</f>
        <v>702095</v>
      </c>
      <c r="F32" s="29">
        <f>SUM(F25,F26,F27,F30,F31)</f>
        <v>812287</v>
      </c>
      <c r="G32" s="30">
        <f>SUM(G25,G26,G27,G30,G31)</f>
        <v>817077</v>
      </c>
    </row>
    <row r="33" spans="4:7" ht="15.75" customHeight="1" x14ac:dyDescent="0.25">
      <c r="D33" s="19" t="s">
        <v>44</v>
      </c>
      <c r="E33" s="20">
        <v>324243</v>
      </c>
      <c r="F33" s="20">
        <v>330087</v>
      </c>
      <c r="G33" s="21">
        <v>340354</v>
      </c>
    </row>
    <row r="34" spans="4:7" ht="15.75" customHeight="1" x14ac:dyDescent="0.25">
      <c r="D34" s="19" t="s">
        <v>168</v>
      </c>
      <c r="E34" s="20">
        <f>SUM(E35,E36,E37)</f>
        <v>-23912</v>
      </c>
      <c r="F34" s="20">
        <f>SUM(F35,F36,F37)</f>
        <v>-17052</v>
      </c>
      <c r="G34" s="21">
        <f>SUM(G35,G36,G37)</f>
        <v>-14839</v>
      </c>
    </row>
    <row r="35" spans="4:7" ht="15.75" customHeight="1" x14ac:dyDescent="0.25">
      <c r="D35" s="22" t="s">
        <v>169</v>
      </c>
      <c r="E35" s="20">
        <v>-29856</v>
      </c>
      <c r="F35" s="20">
        <v>-18226</v>
      </c>
      <c r="G35" s="21">
        <v>-17154</v>
      </c>
    </row>
    <row r="36" spans="4:7" ht="15.75" customHeight="1" x14ac:dyDescent="0.25">
      <c r="D36" s="22" t="s">
        <v>170</v>
      </c>
      <c r="E36" s="20">
        <v>6241</v>
      </c>
      <c r="F36" s="20">
        <v>1689</v>
      </c>
      <c r="G36" s="21">
        <v>2626</v>
      </c>
    </row>
    <row r="37" spans="4:7" ht="15.75" customHeight="1" thickBot="1" x14ac:dyDescent="0.3">
      <c r="D37" s="22" t="s">
        <v>171</v>
      </c>
      <c r="E37" s="20">
        <v>-297</v>
      </c>
      <c r="F37" s="20">
        <v>-515</v>
      </c>
      <c r="G37" s="21">
        <v>-311</v>
      </c>
    </row>
    <row r="38" spans="4:7" s="10" customFormat="1" ht="15.75" customHeight="1" thickBot="1" x14ac:dyDescent="0.3">
      <c r="D38" s="28" t="s">
        <v>45</v>
      </c>
      <c r="E38" s="29">
        <f>SUM(E33,E34)</f>
        <v>300331</v>
      </c>
      <c r="F38" s="29">
        <f>SUM(F33,F34)</f>
        <v>313035</v>
      </c>
      <c r="G38" s="30">
        <f>SUM(G33,G34)</f>
        <v>325515</v>
      </c>
    </row>
    <row r="39" spans="4:7" s="10" customFormat="1" ht="15.75" customHeight="1" thickBot="1" x14ac:dyDescent="0.3">
      <c r="D39" s="28" t="s">
        <v>172</v>
      </c>
      <c r="E39" s="29">
        <f>SUM(E38,E32)</f>
        <v>1002426</v>
      </c>
      <c r="F39" s="29">
        <f>SUM(F38,F32)</f>
        <v>1125322</v>
      </c>
      <c r="G39" s="30">
        <f>SUM(G38,G32)</f>
        <v>1142592</v>
      </c>
    </row>
    <row r="40" spans="4:7" ht="6.75" customHeight="1" x14ac:dyDescent="0.25"/>
    <row r="41" spans="4:7" x14ac:dyDescent="0.25">
      <c r="E41" s="27"/>
      <c r="F41" s="27"/>
      <c r="G41" s="27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P27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6" width="13.28515625" style="13" customWidth="1"/>
    <col min="7" max="8" width="13.28515625" style="13" hidden="1" customWidth="1" outlineLevel="1"/>
    <col min="9" max="9" width="13.28515625" style="13" customWidth="1" collapsed="1"/>
    <col min="10" max="10" width="13.28515625" style="13" customWidth="1"/>
    <col min="11" max="11" width="3" style="13" customWidth="1"/>
    <col min="12" max="16384" width="11.42578125" style="13"/>
  </cols>
  <sheetData>
    <row r="1" spans="2:16" ht="16.5" customHeight="1" x14ac:dyDescent="0.25"/>
    <row r="2" spans="2:16" ht="18.75" customHeight="1" thickBot="1" x14ac:dyDescent="0.3">
      <c r="B2" s="11" t="s">
        <v>27</v>
      </c>
      <c r="D2" s="14" t="s">
        <v>107</v>
      </c>
      <c r="E2" s="14"/>
      <c r="F2" s="14"/>
      <c r="G2" s="14"/>
      <c r="H2" s="14"/>
      <c r="I2" s="14"/>
      <c r="J2" s="14"/>
      <c r="L2" s="14" t="s">
        <v>34</v>
      </c>
      <c r="M2" s="14"/>
      <c r="N2" s="14"/>
      <c r="O2" s="14"/>
      <c r="P2" s="14"/>
    </row>
    <row r="3" spans="2:16" x14ac:dyDescent="0.25">
      <c r="B3" s="10"/>
      <c r="D3" s="31"/>
      <c r="E3" s="32"/>
      <c r="F3" s="32"/>
      <c r="G3" s="32"/>
      <c r="H3" s="32"/>
      <c r="I3" s="32"/>
      <c r="J3" s="32"/>
    </row>
    <row r="4" spans="2:16" ht="15" thickBot="1" x14ac:dyDescent="0.3">
      <c r="B4" s="10"/>
      <c r="D4" s="23"/>
      <c r="E4" s="33" t="s">
        <v>16</v>
      </c>
      <c r="F4" s="33" t="s">
        <v>17</v>
      </c>
      <c r="G4" s="33" t="s">
        <v>88</v>
      </c>
      <c r="H4" s="33" t="s">
        <v>92</v>
      </c>
      <c r="I4" s="33" t="s">
        <v>95</v>
      </c>
      <c r="J4" s="34" t="s">
        <v>193</v>
      </c>
      <c r="L4" s="33" t="s">
        <v>41</v>
      </c>
      <c r="M4" s="33" t="s">
        <v>89</v>
      </c>
      <c r="N4" s="33" t="s">
        <v>93</v>
      </c>
      <c r="O4" s="33" t="s">
        <v>94</v>
      </c>
      <c r="P4" s="34" t="s">
        <v>194</v>
      </c>
    </row>
    <row r="5" spans="2:16" x14ac:dyDescent="0.25">
      <c r="B5" s="10"/>
      <c r="D5" s="31" t="s">
        <v>96</v>
      </c>
      <c r="E5" s="35">
        <v>946679</v>
      </c>
      <c r="F5" s="35">
        <v>244209</v>
      </c>
      <c r="G5" s="35">
        <v>491947</v>
      </c>
      <c r="H5" s="35">
        <v>731945</v>
      </c>
      <c r="I5" s="35">
        <v>973281</v>
      </c>
      <c r="J5" s="36">
        <v>251419</v>
      </c>
      <c r="L5" s="35">
        <f>F5</f>
        <v>244209</v>
      </c>
      <c r="M5" s="35">
        <f t="shared" ref="M5:M19" si="0">G5-F5</f>
        <v>247738</v>
      </c>
      <c r="N5" s="35">
        <f t="shared" ref="N5:N19" si="1">H5-G5</f>
        <v>239998</v>
      </c>
      <c r="O5" s="35">
        <f t="shared" ref="O5:O19" si="2">I5-H5</f>
        <v>241336</v>
      </c>
      <c r="P5" s="36">
        <f>J5</f>
        <v>251419</v>
      </c>
    </row>
    <row r="6" spans="2:16" x14ac:dyDescent="0.25">
      <c r="B6" s="10"/>
      <c r="D6" s="31" t="s">
        <v>90</v>
      </c>
      <c r="E6" s="35">
        <v>925444</v>
      </c>
      <c r="F6" s="35">
        <v>234570</v>
      </c>
      <c r="G6" s="35">
        <v>473663</v>
      </c>
      <c r="H6" s="35">
        <v>716227</v>
      </c>
      <c r="I6" s="35">
        <v>960266</v>
      </c>
      <c r="J6" s="36">
        <v>242618</v>
      </c>
      <c r="L6" s="35">
        <f t="shared" ref="L6" si="3">F6</f>
        <v>234570</v>
      </c>
      <c r="M6" s="35">
        <f t="shared" ref="M6" si="4">G6-F6</f>
        <v>239093</v>
      </c>
      <c r="N6" s="35">
        <f t="shared" ref="N6" si="5">H6-G6</f>
        <v>242564</v>
      </c>
      <c r="O6" s="35">
        <f t="shared" ref="O6" si="6">I6-H6</f>
        <v>244039</v>
      </c>
      <c r="P6" s="36">
        <f t="shared" ref="P6:P19" si="7">J6</f>
        <v>242618</v>
      </c>
    </row>
    <row r="7" spans="2:16" x14ac:dyDescent="0.25">
      <c r="B7" s="10"/>
      <c r="D7" s="31" t="s">
        <v>97</v>
      </c>
      <c r="E7" s="35">
        <v>899579</v>
      </c>
      <c r="F7" s="35">
        <v>228664</v>
      </c>
      <c r="G7" s="35">
        <v>461993</v>
      </c>
      <c r="H7" s="35">
        <v>698654</v>
      </c>
      <c r="I7" s="35">
        <v>936777</v>
      </c>
      <c r="J7" s="36">
        <v>236370</v>
      </c>
      <c r="L7" s="35">
        <f t="shared" ref="L7:L19" si="8">F7</f>
        <v>228664</v>
      </c>
      <c r="M7" s="35">
        <f t="shared" si="0"/>
        <v>233329</v>
      </c>
      <c r="N7" s="35">
        <f t="shared" si="1"/>
        <v>236661</v>
      </c>
      <c r="O7" s="35">
        <f t="shared" si="2"/>
        <v>238123</v>
      </c>
      <c r="P7" s="36">
        <f t="shared" si="7"/>
        <v>236370</v>
      </c>
    </row>
    <row r="8" spans="2:16" x14ac:dyDescent="0.25">
      <c r="B8" s="10"/>
      <c r="D8" s="37" t="s">
        <v>37</v>
      </c>
      <c r="E8" s="38">
        <v>-653859</v>
      </c>
      <c r="F8" s="38">
        <v>-192634</v>
      </c>
      <c r="G8" s="38">
        <v>-396046</v>
      </c>
      <c r="H8" s="38">
        <v>-584215</v>
      </c>
      <c r="I8" s="38">
        <v>-760762</v>
      </c>
      <c r="J8" s="39">
        <v>-177499</v>
      </c>
      <c r="L8" s="38">
        <f t="shared" si="8"/>
        <v>-192634</v>
      </c>
      <c r="M8" s="38">
        <f t="shared" si="0"/>
        <v>-203412</v>
      </c>
      <c r="N8" s="38">
        <f t="shared" si="1"/>
        <v>-188169</v>
      </c>
      <c r="O8" s="38">
        <f t="shared" si="2"/>
        <v>-176547</v>
      </c>
      <c r="P8" s="39">
        <f t="shared" si="7"/>
        <v>-177499</v>
      </c>
    </row>
    <row r="9" spans="2:16" x14ac:dyDescent="0.25">
      <c r="B9" s="10"/>
      <c r="D9" s="37" t="s">
        <v>38</v>
      </c>
      <c r="E9" s="38">
        <v>-208590</v>
      </c>
      <c r="F9" s="38">
        <v>-51657</v>
      </c>
      <c r="G9" s="38">
        <v>-102482</v>
      </c>
      <c r="H9" s="38">
        <v>-156182</v>
      </c>
      <c r="I9" s="38">
        <v>-214240</v>
      </c>
      <c r="J9" s="39">
        <v>-52560</v>
      </c>
      <c r="L9" s="38">
        <f t="shared" si="8"/>
        <v>-51657</v>
      </c>
      <c r="M9" s="38">
        <f t="shared" si="0"/>
        <v>-50825</v>
      </c>
      <c r="N9" s="38">
        <f t="shared" si="1"/>
        <v>-53700</v>
      </c>
      <c r="O9" s="38">
        <f t="shared" si="2"/>
        <v>-58058</v>
      </c>
      <c r="P9" s="39">
        <f t="shared" si="7"/>
        <v>-52560</v>
      </c>
    </row>
    <row r="10" spans="2:16" x14ac:dyDescent="0.25">
      <c r="B10" s="10"/>
      <c r="D10" s="31" t="s">
        <v>35</v>
      </c>
      <c r="E10" s="35">
        <f>SUM(E7:E9)</f>
        <v>37130</v>
      </c>
      <c r="F10" s="35">
        <f t="shared" ref="F10:I10" si="9">SUM(F7:F9)</f>
        <v>-15627</v>
      </c>
      <c r="G10" s="35">
        <f t="shared" si="9"/>
        <v>-36535</v>
      </c>
      <c r="H10" s="35">
        <f t="shared" si="9"/>
        <v>-41743</v>
      </c>
      <c r="I10" s="35">
        <f t="shared" si="9"/>
        <v>-38225</v>
      </c>
      <c r="J10" s="36">
        <f t="shared" ref="J10" si="10">SUM(J7:J9)</f>
        <v>6311</v>
      </c>
      <c r="L10" s="35">
        <f t="shared" si="8"/>
        <v>-15627</v>
      </c>
      <c r="M10" s="35">
        <f t="shared" si="0"/>
        <v>-20908</v>
      </c>
      <c r="N10" s="35">
        <f t="shared" si="1"/>
        <v>-5208</v>
      </c>
      <c r="O10" s="35">
        <f t="shared" si="2"/>
        <v>3518</v>
      </c>
      <c r="P10" s="36">
        <f t="shared" si="7"/>
        <v>6311</v>
      </c>
    </row>
    <row r="11" spans="2:16" x14ac:dyDescent="0.25">
      <c r="B11" s="10"/>
      <c r="D11" s="37" t="s">
        <v>98</v>
      </c>
      <c r="E11" s="38">
        <v>68906</v>
      </c>
      <c r="F11" s="38">
        <v>14031</v>
      </c>
      <c r="G11" s="38">
        <v>23425</v>
      </c>
      <c r="H11" s="38">
        <v>33910</v>
      </c>
      <c r="I11" s="38">
        <v>50249</v>
      </c>
      <c r="J11" s="39">
        <v>12313</v>
      </c>
      <c r="L11" s="38">
        <f t="shared" si="8"/>
        <v>14031</v>
      </c>
      <c r="M11" s="38">
        <f t="shared" si="0"/>
        <v>9394</v>
      </c>
      <c r="N11" s="38">
        <f t="shared" si="1"/>
        <v>10485</v>
      </c>
      <c r="O11" s="38">
        <f t="shared" si="2"/>
        <v>16339</v>
      </c>
      <c r="P11" s="39">
        <f t="shared" si="7"/>
        <v>12313</v>
      </c>
    </row>
    <row r="12" spans="2:16" x14ac:dyDescent="0.25">
      <c r="B12" s="10"/>
      <c r="D12" s="37" t="s">
        <v>99</v>
      </c>
      <c r="E12" s="38">
        <v>-27061</v>
      </c>
      <c r="F12" s="38">
        <v>-5645</v>
      </c>
      <c r="G12" s="38">
        <v>-6641</v>
      </c>
      <c r="H12" s="38">
        <v>-8550</v>
      </c>
      <c r="I12" s="38">
        <v>-16257</v>
      </c>
      <c r="J12" s="39">
        <v>-3087</v>
      </c>
      <c r="L12" s="38">
        <f t="shared" si="8"/>
        <v>-5645</v>
      </c>
      <c r="M12" s="38">
        <f t="shared" si="0"/>
        <v>-996</v>
      </c>
      <c r="N12" s="38">
        <f t="shared" si="1"/>
        <v>-1909</v>
      </c>
      <c r="O12" s="38">
        <f t="shared" si="2"/>
        <v>-7707</v>
      </c>
      <c r="P12" s="39">
        <f t="shared" si="7"/>
        <v>-3087</v>
      </c>
    </row>
    <row r="13" spans="2:16" x14ac:dyDescent="0.25">
      <c r="B13" s="10"/>
      <c r="D13" s="31" t="s">
        <v>91</v>
      </c>
      <c r="E13" s="35">
        <f>SUM(E11:E12)</f>
        <v>41845</v>
      </c>
      <c r="F13" s="35">
        <f t="shared" ref="F13:I13" si="11">SUM(F11:F12)</f>
        <v>8386</v>
      </c>
      <c r="G13" s="35">
        <f t="shared" si="11"/>
        <v>16784</v>
      </c>
      <c r="H13" s="35">
        <f t="shared" si="11"/>
        <v>25360</v>
      </c>
      <c r="I13" s="35">
        <f t="shared" si="11"/>
        <v>33992</v>
      </c>
      <c r="J13" s="36">
        <f t="shared" ref="J13" si="12">SUM(J11:J12)</f>
        <v>9226</v>
      </c>
      <c r="L13" s="35">
        <f t="shared" si="8"/>
        <v>8386</v>
      </c>
      <c r="M13" s="35">
        <f t="shared" si="0"/>
        <v>8398</v>
      </c>
      <c r="N13" s="35">
        <f t="shared" si="1"/>
        <v>8576</v>
      </c>
      <c r="O13" s="35">
        <f t="shared" si="2"/>
        <v>8632</v>
      </c>
      <c r="P13" s="36">
        <f t="shared" si="7"/>
        <v>9226</v>
      </c>
    </row>
    <row r="14" spans="2:16" x14ac:dyDescent="0.25">
      <c r="B14" s="10"/>
      <c r="D14" s="37" t="s">
        <v>105</v>
      </c>
      <c r="E14" s="38">
        <v>425</v>
      </c>
      <c r="F14" s="38">
        <v>-425</v>
      </c>
      <c r="G14" s="38">
        <v>-1278</v>
      </c>
      <c r="H14" s="38">
        <v>-2734</v>
      </c>
      <c r="I14" s="38">
        <v>-4646</v>
      </c>
      <c r="J14" s="39">
        <v>-2182</v>
      </c>
      <c r="L14" s="38">
        <f t="shared" si="8"/>
        <v>-425</v>
      </c>
      <c r="M14" s="38">
        <f t="shared" si="0"/>
        <v>-853</v>
      </c>
      <c r="N14" s="38">
        <f t="shared" si="1"/>
        <v>-1456</v>
      </c>
      <c r="O14" s="38">
        <f t="shared" si="2"/>
        <v>-1912</v>
      </c>
      <c r="P14" s="39">
        <f t="shared" si="7"/>
        <v>-2182</v>
      </c>
    </row>
    <row r="15" spans="2:16" x14ac:dyDescent="0.25">
      <c r="B15" s="10"/>
      <c r="D15" s="37" t="s">
        <v>103</v>
      </c>
      <c r="E15" s="38">
        <f>SUM(E10,E13,E14)</f>
        <v>79400</v>
      </c>
      <c r="F15" s="38">
        <f t="shared" ref="F15:I15" si="13">SUM(F10,F13,F14)</f>
        <v>-7666</v>
      </c>
      <c r="G15" s="38">
        <f t="shared" si="13"/>
        <v>-21029</v>
      </c>
      <c r="H15" s="38">
        <f t="shared" si="13"/>
        <v>-19117</v>
      </c>
      <c r="I15" s="38">
        <f t="shared" si="13"/>
        <v>-8879</v>
      </c>
      <c r="J15" s="39">
        <f t="shared" ref="J15" si="14">SUM(J10,J13,J14)</f>
        <v>13355</v>
      </c>
      <c r="L15" s="38">
        <f t="shared" ref="L15" si="15">F15</f>
        <v>-7666</v>
      </c>
      <c r="M15" s="38">
        <f t="shared" si="0"/>
        <v>-13363</v>
      </c>
      <c r="N15" s="38">
        <f t="shared" si="1"/>
        <v>1912</v>
      </c>
      <c r="O15" s="38">
        <f t="shared" si="2"/>
        <v>10238</v>
      </c>
      <c r="P15" s="39">
        <f t="shared" si="7"/>
        <v>13355</v>
      </c>
    </row>
    <row r="16" spans="2:16" x14ac:dyDescent="0.25">
      <c r="B16" s="10"/>
      <c r="D16" s="37" t="s">
        <v>104</v>
      </c>
      <c r="E16" s="38">
        <v>4160</v>
      </c>
      <c r="F16" s="38">
        <v>608</v>
      </c>
      <c r="G16" s="38">
        <v>1145</v>
      </c>
      <c r="H16" s="38">
        <v>2073</v>
      </c>
      <c r="I16" s="38">
        <v>2332</v>
      </c>
      <c r="J16" s="39">
        <v>335</v>
      </c>
      <c r="L16" s="38">
        <f t="shared" si="8"/>
        <v>608</v>
      </c>
      <c r="M16" s="38">
        <f t="shared" si="0"/>
        <v>537</v>
      </c>
      <c r="N16" s="38">
        <f t="shared" si="1"/>
        <v>928</v>
      </c>
      <c r="O16" s="38">
        <f t="shared" si="2"/>
        <v>259</v>
      </c>
      <c r="P16" s="39">
        <f t="shared" si="7"/>
        <v>335</v>
      </c>
    </row>
    <row r="17" spans="2:16" x14ac:dyDescent="0.25">
      <c r="B17" s="10"/>
      <c r="D17" s="31" t="s">
        <v>100</v>
      </c>
      <c r="E17" s="35">
        <f>SUM(E15:E16)</f>
        <v>83560</v>
      </c>
      <c r="F17" s="35">
        <f t="shared" ref="F17:I17" si="16">SUM(F15:F16)</f>
        <v>-7058</v>
      </c>
      <c r="G17" s="35">
        <f t="shared" si="16"/>
        <v>-19884</v>
      </c>
      <c r="H17" s="35">
        <f t="shared" si="16"/>
        <v>-17044</v>
      </c>
      <c r="I17" s="35">
        <f t="shared" si="16"/>
        <v>-6547</v>
      </c>
      <c r="J17" s="36">
        <f t="shared" ref="J17" si="17">SUM(J15:J16)</f>
        <v>13690</v>
      </c>
      <c r="L17" s="35">
        <f t="shared" si="8"/>
        <v>-7058</v>
      </c>
      <c r="M17" s="35">
        <f t="shared" si="0"/>
        <v>-12826</v>
      </c>
      <c r="N17" s="35">
        <f t="shared" si="1"/>
        <v>2840</v>
      </c>
      <c r="O17" s="35">
        <f t="shared" si="2"/>
        <v>10497</v>
      </c>
      <c r="P17" s="36">
        <f t="shared" si="7"/>
        <v>13690</v>
      </c>
    </row>
    <row r="18" spans="2:16" ht="15" thickBot="1" x14ac:dyDescent="0.3">
      <c r="B18" s="10"/>
      <c r="D18" s="37" t="s">
        <v>102</v>
      </c>
      <c r="E18" s="38">
        <v>-20436</v>
      </c>
      <c r="F18" s="38">
        <v>1767</v>
      </c>
      <c r="G18" s="38">
        <v>4790</v>
      </c>
      <c r="H18" s="38">
        <v>4555</v>
      </c>
      <c r="I18" s="38">
        <v>2157</v>
      </c>
      <c r="J18" s="39">
        <v>-3580</v>
      </c>
      <c r="L18" s="38">
        <f t="shared" si="8"/>
        <v>1767</v>
      </c>
      <c r="M18" s="38">
        <f t="shared" si="0"/>
        <v>3023</v>
      </c>
      <c r="N18" s="38">
        <f t="shared" si="1"/>
        <v>-235</v>
      </c>
      <c r="O18" s="38">
        <f t="shared" si="2"/>
        <v>-2398</v>
      </c>
      <c r="P18" s="39">
        <f t="shared" si="7"/>
        <v>-3580</v>
      </c>
    </row>
    <row r="19" spans="2:16" ht="15" thickBot="1" x14ac:dyDescent="0.3">
      <c r="B19" s="10"/>
      <c r="D19" s="40" t="s">
        <v>101</v>
      </c>
      <c r="E19" s="41">
        <f>SUM(E17:E18)</f>
        <v>63124</v>
      </c>
      <c r="F19" s="41">
        <f t="shared" ref="F19:I19" si="18">SUM(F17:F18)</f>
        <v>-5291</v>
      </c>
      <c r="G19" s="41">
        <f t="shared" si="18"/>
        <v>-15094</v>
      </c>
      <c r="H19" s="41">
        <f t="shared" si="18"/>
        <v>-12489</v>
      </c>
      <c r="I19" s="41">
        <f t="shared" si="18"/>
        <v>-4390</v>
      </c>
      <c r="J19" s="42">
        <f t="shared" ref="J19" si="19">SUM(J17:J18)</f>
        <v>10110</v>
      </c>
      <c r="L19" s="41">
        <f t="shared" si="8"/>
        <v>-5291</v>
      </c>
      <c r="M19" s="41">
        <f t="shared" si="0"/>
        <v>-9803</v>
      </c>
      <c r="N19" s="41">
        <f t="shared" si="1"/>
        <v>2605</v>
      </c>
      <c r="O19" s="41">
        <f t="shared" si="2"/>
        <v>8099</v>
      </c>
      <c r="P19" s="42">
        <f t="shared" si="7"/>
        <v>10110</v>
      </c>
    </row>
    <row r="20" spans="2:16" s="10" customFormat="1" ht="9" customHeight="1" x14ac:dyDescent="0.25"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2:16" s="10" customFormat="1" x14ac:dyDescent="0.25">
      <c r="F21" s="27"/>
      <c r="G21" s="27"/>
      <c r="I21" s="27"/>
      <c r="J21" s="27" t="s">
        <v>29</v>
      </c>
      <c r="K21" s="27"/>
      <c r="L21" s="27"/>
      <c r="M21" s="27"/>
      <c r="N21" s="27"/>
      <c r="O21" s="27"/>
      <c r="P21" s="27" t="s">
        <v>29</v>
      </c>
    </row>
    <row r="22" spans="2:16" x14ac:dyDescent="0.25">
      <c r="D22" s="44"/>
    </row>
    <row r="24" spans="2:16" ht="15" thickBot="1" x14ac:dyDescent="0.3">
      <c r="D24" s="23"/>
      <c r="E24" s="45" t="s">
        <v>16</v>
      </c>
      <c r="F24" s="45" t="s">
        <v>17</v>
      </c>
      <c r="G24" s="45" t="s">
        <v>88</v>
      </c>
      <c r="H24" s="45" t="s">
        <v>92</v>
      </c>
      <c r="I24" s="45" t="s">
        <v>95</v>
      </c>
      <c r="J24" s="34" t="s">
        <v>193</v>
      </c>
      <c r="L24" s="33" t="s">
        <v>41</v>
      </c>
      <c r="M24" s="33" t="s">
        <v>89</v>
      </c>
      <c r="N24" s="33" t="s">
        <v>93</v>
      </c>
      <c r="O24" s="33" t="s">
        <v>94</v>
      </c>
      <c r="P24" s="34" t="s">
        <v>194</v>
      </c>
    </row>
    <row r="25" spans="2:16" x14ac:dyDescent="0.25">
      <c r="D25" s="46" t="s">
        <v>39</v>
      </c>
      <c r="E25" s="47">
        <f>-E8/E7</f>
        <v>0.72685000427977975</v>
      </c>
      <c r="F25" s="47">
        <f t="shared" ref="F25:I25" si="20">-F8/F7</f>
        <v>0.84243256481125139</v>
      </c>
      <c r="G25" s="47">
        <f t="shared" si="20"/>
        <v>0.85725541296080243</v>
      </c>
      <c r="H25" s="47">
        <f t="shared" si="20"/>
        <v>0.83620075173118602</v>
      </c>
      <c r="I25" s="47">
        <f t="shared" si="20"/>
        <v>0.81210576263080758</v>
      </c>
      <c r="J25" s="48">
        <f t="shared" ref="J25" si="21">-J8/J7</f>
        <v>0.750937090155265</v>
      </c>
      <c r="L25" s="47">
        <f t="shared" ref="L25:O25" si="22">-L8/L7</f>
        <v>0.84243256481125139</v>
      </c>
      <c r="M25" s="47">
        <f t="shared" si="22"/>
        <v>0.87178190452108395</v>
      </c>
      <c r="N25" s="47">
        <f t="shared" si="22"/>
        <v>0.79509931927947575</v>
      </c>
      <c r="O25" s="47">
        <f t="shared" si="22"/>
        <v>0.74141095148305702</v>
      </c>
      <c r="P25" s="48">
        <f t="shared" ref="P25" si="23">-P8/P7</f>
        <v>0.750937090155265</v>
      </c>
    </row>
    <row r="26" spans="2:16" ht="15" thickBot="1" x14ac:dyDescent="0.3">
      <c r="D26" s="46" t="s">
        <v>40</v>
      </c>
      <c r="E26" s="47">
        <f>-E9/E7</f>
        <v>0.23187513270096344</v>
      </c>
      <c r="F26" s="47">
        <f t="shared" ref="F26:I26" si="24">-F9/F7</f>
        <v>0.2259078823076654</v>
      </c>
      <c r="G26" s="47">
        <f t="shared" si="24"/>
        <v>0.2218258718205687</v>
      </c>
      <c r="H26" s="47">
        <f t="shared" si="24"/>
        <v>0.22354699178706483</v>
      </c>
      <c r="I26" s="47">
        <f t="shared" si="24"/>
        <v>0.22869903936582558</v>
      </c>
      <c r="J26" s="48">
        <f t="shared" ref="J26" si="25">-J9/J7</f>
        <v>0.2223632440665059</v>
      </c>
      <c r="L26" s="47">
        <f t="shared" ref="L26:O26" si="26">-L9/L7</f>
        <v>0.2259078823076654</v>
      </c>
      <c r="M26" s="47">
        <f t="shared" si="26"/>
        <v>0.21782547390165818</v>
      </c>
      <c r="N26" s="47">
        <f t="shared" si="26"/>
        <v>0.22690684143141457</v>
      </c>
      <c r="O26" s="47">
        <f t="shared" si="26"/>
        <v>0.24381517115104379</v>
      </c>
      <c r="P26" s="48">
        <f t="shared" ref="P26" si="27">-P9/P7</f>
        <v>0.2223632440665059</v>
      </c>
    </row>
    <row r="27" spans="2:16" ht="15" thickBot="1" x14ac:dyDescent="0.3">
      <c r="D27" s="40" t="s">
        <v>36</v>
      </c>
      <c r="E27" s="49">
        <f>-(E8+E9)/E7</f>
        <v>0.95872513698074324</v>
      </c>
      <c r="F27" s="49">
        <f t="shared" ref="F27:I27" si="28">-(F8+F9)/F7</f>
        <v>1.0683404471189168</v>
      </c>
      <c r="G27" s="49">
        <f t="shared" si="28"/>
        <v>1.0790812847813711</v>
      </c>
      <c r="H27" s="49">
        <f t="shared" si="28"/>
        <v>1.0597477435182507</v>
      </c>
      <c r="I27" s="49">
        <f t="shared" si="28"/>
        <v>1.0408048019966332</v>
      </c>
      <c r="J27" s="50">
        <f t="shared" ref="J27" si="29">-(J8+J9)/J7</f>
        <v>0.97330033422177098</v>
      </c>
      <c r="L27" s="49">
        <f t="shared" ref="L27:O27" si="30">-(L8+L9)/L7</f>
        <v>1.0683404471189168</v>
      </c>
      <c r="M27" s="49">
        <f t="shared" si="30"/>
        <v>1.0896073784227422</v>
      </c>
      <c r="N27" s="49">
        <f t="shared" si="30"/>
        <v>1.0220061607108903</v>
      </c>
      <c r="O27" s="49">
        <f t="shared" si="30"/>
        <v>0.98522612263410081</v>
      </c>
      <c r="P27" s="50">
        <f t="shared" ref="P27" si="31">-(P8+P9)/P7</f>
        <v>0.97330033422177098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P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6" width="11.28515625" style="10" customWidth="1"/>
    <col min="7" max="8" width="11.28515625" style="10" hidden="1" customWidth="1" outlineLevel="1"/>
    <col min="9" max="9" width="11.28515625" style="10" customWidth="1" collapsed="1"/>
    <col min="10" max="10" width="11.28515625" style="10" customWidth="1"/>
    <col min="11" max="11" width="11.42578125" style="10"/>
    <col min="12" max="17" width="11.42578125" style="10" customWidth="1"/>
    <col min="18" max="16384" width="11.42578125" style="10"/>
  </cols>
  <sheetData>
    <row r="1" spans="2:16" ht="16.5" customHeight="1" x14ac:dyDescent="0.25"/>
    <row r="2" spans="2:16" ht="18.75" customHeight="1" thickBot="1" x14ac:dyDescent="0.3">
      <c r="B2" s="11" t="s">
        <v>27</v>
      </c>
      <c r="D2" s="14" t="s">
        <v>108</v>
      </c>
      <c r="E2" s="14"/>
      <c r="F2" s="14"/>
      <c r="G2" s="14"/>
      <c r="H2" s="14"/>
      <c r="I2" s="14"/>
      <c r="J2" s="14"/>
      <c r="K2" s="14"/>
    </row>
    <row r="3" spans="2:16" x14ac:dyDescent="0.25">
      <c r="B3" s="51"/>
      <c r="D3" s="52"/>
      <c r="E3" s="52"/>
      <c r="F3" s="52"/>
      <c r="G3" s="52"/>
      <c r="H3" s="52"/>
      <c r="I3" s="52"/>
      <c r="J3" s="52"/>
    </row>
    <row r="4" spans="2:16" x14ac:dyDescent="0.25">
      <c r="B4" s="51"/>
      <c r="D4" s="53"/>
      <c r="E4" s="177" t="s">
        <v>106</v>
      </c>
      <c r="F4" s="177"/>
      <c r="G4" s="177"/>
      <c r="H4" s="177"/>
      <c r="I4" s="177"/>
      <c r="J4" s="177"/>
      <c r="K4" s="177"/>
    </row>
    <row r="5" spans="2:16" ht="15" thickBot="1" x14ac:dyDescent="0.3">
      <c r="B5" s="51"/>
      <c r="D5" s="23"/>
      <c r="E5" s="17" t="s">
        <v>16</v>
      </c>
      <c r="F5" s="17" t="s">
        <v>17</v>
      </c>
      <c r="G5" s="17" t="s">
        <v>88</v>
      </c>
      <c r="H5" s="17" t="s">
        <v>92</v>
      </c>
      <c r="I5" s="17" t="s">
        <v>95</v>
      </c>
      <c r="J5" s="18" t="s">
        <v>193</v>
      </c>
      <c r="K5" s="54" t="s">
        <v>0</v>
      </c>
    </row>
    <row r="6" spans="2:16" x14ac:dyDescent="0.25">
      <c r="B6" s="51"/>
      <c r="D6" s="46" t="s">
        <v>15</v>
      </c>
      <c r="E6" s="55">
        <v>757858</v>
      </c>
      <c r="F6" s="55">
        <v>191252</v>
      </c>
      <c r="G6" s="55">
        <v>386201</v>
      </c>
      <c r="H6" s="55">
        <v>583894</v>
      </c>
      <c r="I6" s="55">
        <v>782686</v>
      </c>
      <c r="J6" s="56">
        <v>197213</v>
      </c>
      <c r="K6" s="57">
        <f>+J6/F6-1</f>
        <v>3.1168301507958018E-2</v>
      </c>
    </row>
    <row r="7" spans="2:16" x14ac:dyDescent="0.25">
      <c r="B7" s="51"/>
      <c r="D7" s="46" t="s">
        <v>21</v>
      </c>
      <c r="E7" s="55">
        <v>138034</v>
      </c>
      <c r="F7" s="55">
        <v>35735</v>
      </c>
      <c r="G7" s="55">
        <v>72264</v>
      </c>
      <c r="H7" s="55">
        <v>109405</v>
      </c>
      <c r="I7" s="55">
        <v>146847</v>
      </c>
      <c r="J7" s="56">
        <v>37360</v>
      </c>
      <c r="K7" s="57">
        <f t="shared" ref="K7:K10" si="0">+J7/F7-1</f>
        <v>4.5473625297327569E-2</v>
      </c>
    </row>
    <row r="8" spans="2:16" x14ac:dyDescent="0.25">
      <c r="B8" s="51"/>
      <c r="D8" s="46" t="s">
        <v>22</v>
      </c>
      <c r="E8" s="55">
        <v>28452</v>
      </c>
      <c r="F8" s="55">
        <v>7339</v>
      </c>
      <c r="G8" s="55">
        <v>14775</v>
      </c>
      <c r="H8" s="55">
        <v>22325</v>
      </c>
      <c r="I8" s="55">
        <v>29949</v>
      </c>
      <c r="J8" s="56">
        <v>7839</v>
      </c>
      <c r="K8" s="57">
        <f t="shared" si="0"/>
        <v>6.8129172911840952E-2</v>
      </c>
    </row>
    <row r="9" spans="2:16" ht="15" thickBot="1" x14ac:dyDescent="0.3">
      <c r="B9" s="51"/>
      <c r="D9" s="46" t="s">
        <v>23</v>
      </c>
      <c r="E9" s="55">
        <v>1100</v>
      </c>
      <c r="F9" s="55">
        <v>244</v>
      </c>
      <c r="G9" s="55">
        <v>423</v>
      </c>
      <c r="H9" s="55">
        <v>603</v>
      </c>
      <c r="I9" s="55">
        <v>784</v>
      </c>
      <c r="J9" s="56">
        <v>206</v>
      </c>
      <c r="K9" s="57">
        <f t="shared" si="0"/>
        <v>-0.15573770491803274</v>
      </c>
    </row>
    <row r="10" spans="2:16" ht="15" thickBot="1" x14ac:dyDescent="0.3">
      <c r="B10" s="51"/>
      <c r="D10" s="40" t="s">
        <v>1</v>
      </c>
      <c r="E10" s="58">
        <f t="shared" ref="E10:I10" si="1">SUM(E6:E9)</f>
        <v>925444</v>
      </c>
      <c r="F10" s="58">
        <f t="shared" si="1"/>
        <v>234570</v>
      </c>
      <c r="G10" s="58">
        <f t="shared" si="1"/>
        <v>473663</v>
      </c>
      <c r="H10" s="58">
        <f t="shared" si="1"/>
        <v>716227</v>
      </c>
      <c r="I10" s="58">
        <f t="shared" si="1"/>
        <v>960266</v>
      </c>
      <c r="J10" s="59">
        <f t="shared" ref="J10" si="2">SUM(J6:J9)</f>
        <v>242618</v>
      </c>
      <c r="K10" s="60">
        <f t="shared" si="0"/>
        <v>3.4309587756319981E-2</v>
      </c>
    </row>
    <row r="11" spans="2:16" x14ac:dyDescent="0.25">
      <c r="B11" s="51"/>
      <c r="D11" s="52"/>
      <c r="E11" s="52"/>
      <c r="F11" s="52"/>
      <c r="G11" s="52"/>
      <c r="H11" s="52"/>
      <c r="I11" s="52"/>
      <c r="J11" s="52"/>
    </row>
    <row r="12" spans="2:16" x14ac:dyDescent="0.25">
      <c r="B12" s="51"/>
      <c r="D12" s="52"/>
      <c r="E12" s="52"/>
      <c r="F12" s="52"/>
      <c r="G12" s="52"/>
      <c r="H12" s="52"/>
      <c r="I12" s="52"/>
      <c r="J12" s="52"/>
    </row>
    <row r="13" spans="2:16" x14ac:dyDescent="0.25">
      <c r="B13" s="51"/>
      <c r="D13" s="53"/>
      <c r="E13" s="177" t="s">
        <v>96</v>
      </c>
      <c r="F13" s="177"/>
      <c r="G13" s="177"/>
      <c r="H13" s="177"/>
      <c r="I13" s="177"/>
      <c r="J13" s="177"/>
      <c r="K13" s="177"/>
    </row>
    <row r="14" spans="2:16" ht="15" thickBot="1" x14ac:dyDescent="0.3">
      <c r="B14" s="51"/>
      <c r="D14" s="23"/>
      <c r="E14" s="17" t="s">
        <v>16</v>
      </c>
      <c r="F14" s="17" t="s">
        <v>17</v>
      </c>
      <c r="G14" s="17" t="s">
        <v>88</v>
      </c>
      <c r="H14" s="17" t="s">
        <v>92</v>
      </c>
      <c r="I14" s="17" t="s">
        <v>95</v>
      </c>
      <c r="J14" s="18" t="s">
        <v>193</v>
      </c>
      <c r="K14" s="54" t="s">
        <v>0</v>
      </c>
    </row>
    <row r="15" spans="2:16" x14ac:dyDescent="0.25">
      <c r="B15" s="51"/>
      <c r="D15" s="46" t="s">
        <v>15</v>
      </c>
      <c r="E15" s="55">
        <v>772787</v>
      </c>
      <c r="F15" s="55">
        <v>191526</v>
      </c>
      <c r="G15" s="55">
        <v>396107</v>
      </c>
      <c r="H15" s="55">
        <v>595239</v>
      </c>
      <c r="I15" s="55">
        <v>792684</v>
      </c>
      <c r="J15" s="56">
        <v>195771</v>
      </c>
      <c r="K15" s="57">
        <f>+J15/F15-1</f>
        <v>2.2164092603615071E-2</v>
      </c>
      <c r="M15" s="61"/>
      <c r="N15" s="61"/>
      <c r="O15" s="61"/>
      <c r="P15" s="61"/>
    </row>
    <row r="16" spans="2:16" x14ac:dyDescent="0.25">
      <c r="B16" s="51"/>
      <c r="D16" s="46" t="s">
        <v>21</v>
      </c>
      <c r="E16" s="55">
        <v>143713</v>
      </c>
      <c r="F16" s="55">
        <v>37607</v>
      </c>
      <c r="G16" s="55">
        <v>75283</v>
      </c>
      <c r="H16" s="55">
        <v>111604</v>
      </c>
      <c r="I16" s="55">
        <v>149430</v>
      </c>
      <c r="J16" s="56">
        <v>39270</v>
      </c>
      <c r="K16" s="57">
        <f t="shared" ref="K16:K19" si="3">+J16/F16-1</f>
        <v>4.4220490866062168E-2</v>
      </c>
      <c r="M16" s="61"/>
      <c r="N16" s="61"/>
      <c r="O16" s="61"/>
      <c r="P16" s="61"/>
    </row>
    <row r="17" spans="2:16" x14ac:dyDescent="0.25">
      <c r="B17" s="51"/>
      <c r="D17" s="46" t="s">
        <v>22</v>
      </c>
      <c r="E17" s="55">
        <v>29082</v>
      </c>
      <c r="F17" s="55">
        <v>14335</v>
      </c>
      <c r="G17" s="55">
        <v>19803</v>
      </c>
      <c r="H17" s="55">
        <v>24335</v>
      </c>
      <c r="I17" s="55">
        <v>30384</v>
      </c>
      <c r="J17" s="56">
        <v>15579</v>
      </c>
      <c r="K17" s="57">
        <f t="shared" si="3"/>
        <v>8.6780606906173618E-2</v>
      </c>
      <c r="M17" s="61"/>
      <c r="N17" s="61"/>
      <c r="O17" s="61"/>
      <c r="P17" s="61"/>
    </row>
    <row r="18" spans="2:16" ht="15" thickBot="1" x14ac:dyDescent="0.3">
      <c r="B18" s="51"/>
      <c r="D18" s="46" t="s">
        <v>23</v>
      </c>
      <c r="E18" s="55">
        <v>1097</v>
      </c>
      <c r="F18" s="55">
        <v>741</v>
      </c>
      <c r="G18" s="55">
        <v>754</v>
      </c>
      <c r="H18" s="55">
        <v>767</v>
      </c>
      <c r="I18" s="55">
        <v>783</v>
      </c>
      <c r="J18" s="56">
        <v>799</v>
      </c>
      <c r="K18" s="57">
        <f t="shared" si="3"/>
        <v>7.8272604588394135E-2</v>
      </c>
      <c r="M18" s="61"/>
      <c r="N18" s="61"/>
      <c r="O18" s="61"/>
      <c r="P18" s="61"/>
    </row>
    <row r="19" spans="2:16" ht="15" thickBot="1" x14ac:dyDescent="0.3">
      <c r="B19" s="51"/>
      <c r="D19" s="40" t="s">
        <v>1</v>
      </c>
      <c r="E19" s="58">
        <f t="shared" ref="E19:I19" si="4">SUM(E15:E18)</f>
        <v>946679</v>
      </c>
      <c r="F19" s="58">
        <f t="shared" si="4"/>
        <v>244209</v>
      </c>
      <c r="G19" s="58">
        <f t="shared" si="4"/>
        <v>491947</v>
      </c>
      <c r="H19" s="58">
        <f t="shared" si="4"/>
        <v>731945</v>
      </c>
      <c r="I19" s="58">
        <f t="shared" si="4"/>
        <v>973281</v>
      </c>
      <c r="J19" s="59">
        <f t="shared" ref="J19" si="5">SUM(J15:J18)</f>
        <v>251419</v>
      </c>
      <c r="K19" s="60">
        <f t="shared" si="3"/>
        <v>2.9523891420873083E-2</v>
      </c>
      <c r="M19" s="61"/>
      <c r="N19" s="61"/>
      <c r="O19" s="61"/>
      <c r="P19" s="61"/>
    </row>
    <row r="20" spans="2:16" x14ac:dyDescent="0.25">
      <c r="B20" s="51"/>
      <c r="D20" s="31"/>
      <c r="E20" s="62"/>
      <c r="F20" s="62"/>
      <c r="G20" s="63"/>
      <c r="H20" s="63"/>
      <c r="I20" s="63"/>
      <c r="J20" s="63"/>
    </row>
    <row r="22" spans="2:16" x14ac:dyDescent="0.25">
      <c r="D22" s="53"/>
      <c r="E22" s="177" t="s">
        <v>35</v>
      </c>
      <c r="F22" s="177"/>
      <c r="G22" s="177"/>
      <c r="H22" s="177"/>
      <c r="I22" s="177"/>
      <c r="J22" s="177"/>
      <c r="K22" s="177"/>
    </row>
    <row r="23" spans="2:16" ht="15" thickBot="1" x14ac:dyDescent="0.3">
      <c r="D23" s="23"/>
      <c r="E23" s="17" t="s">
        <v>16</v>
      </c>
      <c r="F23" s="17" t="s">
        <v>17</v>
      </c>
      <c r="G23" s="17" t="s">
        <v>88</v>
      </c>
      <c r="H23" s="17" t="s">
        <v>92</v>
      </c>
      <c r="I23" s="17" t="s">
        <v>95</v>
      </c>
      <c r="J23" s="18" t="s">
        <v>193</v>
      </c>
      <c r="K23" s="64" t="s">
        <v>0</v>
      </c>
    </row>
    <row r="24" spans="2:16" x14ac:dyDescent="0.25">
      <c r="D24" s="46" t="s">
        <v>15</v>
      </c>
      <c r="E24" s="55">
        <v>37662</v>
      </c>
      <c r="F24" s="55">
        <v>-13011</v>
      </c>
      <c r="G24" s="55">
        <v>-35222</v>
      </c>
      <c r="H24" s="55">
        <v>-38369</v>
      </c>
      <c r="I24" s="55">
        <v>-34907</v>
      </c>
      <c r="J24" s="56">
        <v>6946</v>
      </c>
      <c r="K24" s="57" t="s">
        <v>195</v>
      </c>
    </row>
    <row r="25" spans="2:16" x14ac:dyDescent="0.25">
      <c r="D25" s="46" t="s">
        <v>21</v>
      </c>
      <c r="E25" s="55">
        <v>7574</v>
      </c>
      <c r="F25" s="55">
        <v>-516</v>
      </c>
      <c r="G25" s="55">
        <v>3119</v>
      </c>
      <c r="H25" s="55">
        <v>3395</v>
      </c>
      <c r="I25" s="55">
        <v>6002</v>
      </c>
      <c r="J25" s="56">
        <v>1219</v>
      </c>
      <c r="K25" s="57" t="s">
        <v>195</v>
      </c>
    </row>
    <row r="26" spans="2:16" x14ac:dyDescent="0.25">
      <c r="D26" s="46" t="s">
        <v>22</v>
      </c>
      <c r="E26" s="55">
        <v>-8458</v>
      </c>
      <c r="F26" s="55">
        <v>-2204</v>
      </c>
      <c r="G26" s="55">
        <v>-4607</v>
      </c>
      <c r="H26" s="55">
        <v>-7000</v>
      </c>
      <c r="I26" s="55">
        <v>-9558</v>
      </c>
      <c r="J26" s="56">
        <v>-1795</v>
      </c>
      <c r="K26" s="57">
        <f t="shared" ref="K26:K27" si="6">+J26/F26-1</f>
        <v>-0.18557168784029043</v>
      </c>
      <c r="M26" s="65"/>
    </row>
    <row r="27" spans="2:16" ht="15" thickBot="1" x14ac:dyDescent="0.3">
      <c r="D27" s="46" t="s">
        <v>23</v>
      </c>
      <c r="E27" s="55">
        <v>352</v>
      </c>
      <c r="F27" s="55">
        <v>104</v>
      </c>
      <c r="G27" s="55">
        <v>175</v>
      </c>
      <c r="H27" s="55">
        <v>231</v>
      </c>
      <c r="I27" s="55">
        <v>238</v>
      </c>
      <c r="J27" s="56">
        <v>-59</v>
      </c>
      <c r="K27" s="57">
        <f t="shared" si="6"/>
        <v>-1.5673076923076923</v>
      </c>
    </row>
    <row r="28" spans="2:16" ht="15" thickBot="1" x14ac:dyDescent="0.3">
      <c r="D28" s="40" t="s">
        <v>1</v>
      </c>
      <c r="E28" s="58">
        <f t="shared" ref="E28:I28" si="7">SUM(E24:E27)</f>
        <v>37130</v>
      </c>
      <c r="F28" s="58">
        <f t="shared" si="7"/>
        <v>-15627</v>
      </c>
      <c r="G28" s="58">
        <f t="shared" si="7"/>
        <v>-36535</v>
      </c>
      <c r="H28" s="58">
        <f t="shared" si="7"/>
        <v>-41743</v>
      </c>
      <c r="I28" s="58">
        <f t="shared" si="7"/>
        <v>-38225</v>
      </c>
      <c r="J28" s="59">
        <f t="shared" ref="J28" si="8">SUM(J24:J27)</f>
        <v>6311</v>
      </c>
      <c r="K28" s="60" t="s">
        <v>195</v>
      </c>
    </row>
    <row r="31" spans="2:16" x14ac:dyDescent="0.25">
      <c r="D31" s="53"/>
      <c r="E31" s="177" t="s">
        <v>36</v>
      </c>
      <c r="F31" s="177"/>
      <c r="G31" s="177"/>
      <c r="H31" s="177"/>
      <c r="I31" s="177"/>
      <c r="J31" s="177"/>
      <c r="K31" s="177"/>
    </row>
    <row r="32" spans="2:16" ht="15" thickBot="1" x14ac:dyDescent="0.3">
      <c r="D32" s="23"/>
      <c r="E32" s="17" t="s">
        <v>16</v>
      </c>
      <c r="F32" s="17" t="s">
        <v>17</v>
      </c>
      <c r="G32" s="17" t="s">
        <v>88</v>
      </c>
      <c r="H32" s="17" t="s">
        <v>92</v>
      </c>
      <c r="I32" s="17" t="s">
        <v>95</v>
      </c>
      <c r="J32" s="18" t="s">
        <v>193</v>
      </c>
      <c r="K32" s="66" t="s">
        <v>13</v>
      </c>
    </row>
    <row r="33" spans="4:11" x14ac:dyDescent="0.25">
      <c r="D33" s="46" t="s">
        <v>15</v>
      </c>
      <c r="E33" s="67">
        <v>0.94999156833038334</v>
      </c>
      <c r="F33" s="67">
        <v>1.0684821912616913</v>
      </c>
      <c r="G33" s="67">
        <v>1.0918018943165291</v>
      </c>
      <c r="H33" s="67">
        <v>1.0661412499744833</v>
      </c>
      <c r="I33" s="67">
        <v>1.0448886688484957</v>
      </c>
      <c r="J33" s="68">
        <v>0.96453788462814805</v>
      </c>
      <c r="K33" s="69">
        <f>(J33-F33)*100</f>
        <v>-10.394430663354326</v>
      </c>
    </row>
    <row r="34" spans="4:11" x14ac:dyDescent="0.25">
      <c r="D34" s="46" t="s">
        <v>21</v>
      </c>
      <c r="E34" s="67">
        <v>0.94164869029275811</v>
      </c>
      <c r="F34" s="67">
        <v>1.0149851890573269</v>
      </c>
      <c r="G34" s="67">
        <v>0.95534205778757775</v>
      </c>
      <c r="H34" s="67">
        <v>0.96789648189137911</v>
      </c>
      <c r="I34" s="67">
        <v>0.95771929330215</v>
      </c>
      <c r="J34" s="68">
        <v>0.96613042149426243</v>
      </c>
      <c r="K34" s="69">
        <f t="shared" ref="K34:K37" si="9">(J34-F34)*100</f>
        <v>-4.885476756306451</v>
      </c>
    </row>
    <row r="35" spans="4:11" x14ac:dyDescent="0.25">
      <c r="D35" s="46" t="s">
        <v>22</v>
      </c>
      <c r="E35" s="67">
        <v>1.5421447343119032</v>
      </c>
      <c r="F35" s="67">
        <v>1.5504495504495504</v>
      </c>
      <c r="G35" s="67">
        <v>1.5713045634920635</v>
      </c>
      <c r="H35" s="67">
        <v>1.5736429350533556</v>
      </c>
      <c r="I35" s="67">
        <v>1.5823432644854689</v>
      </c>
      <c r="J35" s="68">
        <v>1.4155092592592593</v>
      </c>
      <c r="K35" s="69">
        <f t="shared" si="9"/>
        <v>-13.494029119029104</v>
      </c>
    </row>
    <row r="36" spans="4:11" ht="15" thickBot="1" x14ac:dyDescent="0.3">
      <c r="D36" s="46" t="s">
        <v>23</v>
      </c>
      <c r="E36" s="67">
        <v>0.66948356807511744</v>
      </c>
      <c r="F36" s="67">
        <v>0.55744680851063833</v>
      </c>
      <c r="G36" s="67">
        <v>0.57627118644067798</v>
      </c>
      <c r="H36" s="67">
        <v>0.61038403473012948</v>
      </c>
      <c r="I36" s="67">
        <v>0.69210866752910738</v>
      </c>
      <c r="J36" s="68">
        <v>1.3138297872340425</v>
      </c>
      <c r="K36" s="69">
        <f t="shared" si="9"/>
        <v>75.638297872340416</v>
      </c>
    </row>
    <row r="37" spans="4:11" ht="15" thickBot="1" x14ac:dyDescent="0.3">
      <c r="D37" s="40" t="s">
        <v>1</v>
      </c>
      <c r="E37" s="70">
        <v>0.95872513698074324</v>
      </c>
      <c r="F37" s="70">
        <v>1.0683404471189168</v>
      </c>
      <c r="G37" s="70">
        <v>1.0790812847813711</v>
      </c>
      <c r="H37" s="70">
        <v>1.0597474759477064</v>
      </c>
      <c r="I37" s="70">
        <v>1.0408048019966332</v>
      </c>
      <c r="J37" s="71">
        <v>0.97330033422177087</v>
      </c>
      <c r="K37" s="72">
        <f t="shared" si="9"/>
        <v>-9.5040112897145974</v>
      </c>
    </row>
    <row r="38" spans="4:11" x14ac:dyDescent="0.25">
      <c r="E38" s="62"/>
      <c r="F38" s="62"/>
      <c r="G38" s="63"/>
      <c r="H38" s="63"/>
      <c r="I38" s="63"/>
      <c r="J38" s="63"/>
    </row>
    <row r="39" spans="4:11" x14ac:dyDescent="0.25">
      <c r="E39" s="52"/>
      <c r="F39" s="52"/>
      <c r="G39" s="27"/>
      <c r="H39" s="27"/>
      <c r="I39" s="27"/>
      <c r="J39" s="27"/>
      <c r="K39" s="27" t="s">
        <v>30</v>
      </c>
    </row>
  </sheetData>
  <mergeCells count="4">
    <mergeCell ref="E13:K13"/>
    <mergeCell ref="E22:K22"/>
    <mergeCell ref="E31:K31"/>
    <mergeCell ref="E4:K4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6" width="11" style="73" customWidth="1"/>
    <col min="7" max="8" width="11" style="73" hidden="1" customWidth="1" outlineLevel="1"/>
    <col min="9" max="9" width="11" style="73" customWidth="1" collapsed="1"/>
    <col min="10" max="11" width="11" style="73" customWidth="1"/>
    <col min="12" max="12" width="3" style="13" customWidth="1"/>
    <col min="13" max="14" width="10.85546875" style="73"/>
    <col min="15" max="15" width="10.85546875" style="73" customWidth="1"/>
    <col min="16" max="16384" width="10.85546875" style="73"/>
  </cols>
  <sheetData>
    <row r="1" spans="2:17" ht="16.5" customHeight="1" x14ac:dyDescent="0.2"/>
    <row r="2" spans="2:17" ht="18.75" customHeight="1" thickBot="1" x14ac:dyDescent="0.25">
      <c r="B2" s="11" t="s">
        <v>27</v>
      </c>
      <c r="D2" s="14" t="s">
        <v>109</v>
      </c>
      <c r="E2" s="14"/>
      <c r="F2" s="14"/>
      <c r="G2" s="14"/>
      <c r="H2" s="14"/>
      <c r="I2" s="14"/>
      <c r="J2" s="14"/>
      <c r="K2" s="14"/>
      <c r="M2" s="14" t="s">
        <v>34</v>
      </c>
      <c r="N2" s="14"/>
      <c r="O2" s="14"/>
      <c r="P2" s="14"/>
      <c r="Q2" s="14"/>
    </row>
    <row r="4" spans="2:17" s="10" customFormat="1" ht="15" thickBot="1" x14ac:dyDescent="0.3">
      <c r="D4" s="23"/>
      <c r="E4" s="45" t="s">
        <v>16</v>
      </c>
      <c r="F4" s="45" t="s">
        <v>17</v>
      </c>
      <c r="G4" s="45" t="s">
        <v>88</v>
      </c>
      <c r="H4" s="45" t="s">
        <v>92</v>
      </c>
      <c r="I4" s="45" t="s">
        <v>95</v>
      </c>
      <c r="J4" s="74" t="s">
        <v>193</v>
      </c>
      <c r="K4" s="75" t="s">
        <v>0</v>
      </c>
      <c r="L4" s="13"/>
      <c r="M4" s="45" t="s">
        <v>41</v>
      </c>
      <c r="N4" s="45" t="s">
        <v>89</v>
      </c>
      <c r="O4" s="45" t="s">
        <v>93</v>
      </c>
      <c r="P4" s="45" t="s">
        <v>94</v>
      </c>
      <c r="Q4" s="74" t="s">
        <v>194</v>
      </c>
    </row>
    <row r="5" spans="2:17" s="10" customFormat="1" x14ac:dyDescent="0.25">
      <c r="D5" s="31" t="s">
        <v>96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7">
        <v>195771</v>
      </c>
      <c r="K5" s="78">
        <f>+J5/F5-1</f>
        <v>2.2164092603615071E-2</v>
      </c>
      <c r="L5" s="13"/>
      <c r="M5" s="76">
        <f>F5</f>
        <v>191526</v>
      </c>
      <c r="N5" s="76">
        <f>G5-F5</f>
        <v>204581</v>
      </c>
      <c r="O5" s="76">
        <f>H5-G5</f>
        <v>199132</v>
      </c>
      <c r="P5" s="76">
        <f>I5-H5</f>
        <v>197445</v>
      </c>
      <c r="Q5" s="77">
        <f>J5</f>
        <v>195771</v>
      </c>
    </row>
    <row r="6" spans="2:17" s="10" customFormat="1" x14ac:dyDescent="0.25">
      <c r="D6" s="31" t="s">
        <v>97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7">
        <v>195871</v>
      </c>
      <c r="K6" s="78">
        <f t="shared" ref="K6:K8" si="0">+J6/F6-1</f>
        <v>3.0948834418472515E-2</v>
      </c>
      <c r="L6" s="13"/>
      <c r="M6" s="76">
        <f t="shared" ref="M6:M8" si="1">F6</f>
        <v>189991</v>
      </c>
      <c r="N6" s="76">
        <f t="shared" ref="N6:N8" si="2">G6-F6</f>
        <v>193683</v>
      </c>
      <c r="O6" s="76">
        <f t="shared" ref="O6:P8" si="3">H6-G6</f>
        <v>196427</v>
      </c>
      <c r="P6" s="76">
        <f t="shared" si="3"/>
        <v>197534</v>
      </c>
      <c r="Q6" s="77">
        <f t="shared" ref="Q6:Q8" si="4">J6</f>
        <v>195871</v>
      </c>
    </row>
    <row r="7" spans="2:17" s="79" customFormat="1" x14ac:dyDescent="0.25">
      <c r="D7" s="80" t="s">
        <v>37</v>
      </c>
      <c r="E7" s="55">
        <v>-558716</v>
      </c>
      <c r="F7" s="55">
        <v>-163096</v>
      </c>
      <c r="G7" s="55">
        <v>-342468</v>
      </c>
      <c r="H7" s="55">
        <v>-502171</v>
      </c>
      <c r="I7" s="55">
        <v>-652866</v>
      </c>
      <c r="J7" s="56">
        <v>-148667</v>
      </c>
      <c r="K7" s="81">
        <f t="shared" si="0"/>
        <v>-8.8469367734340554E-2</v>
      </c>
      <c r="M7" s="55">
        <f t="shared" si="1"/>
        <v>-163096</v>
      </c>
      <c r="N7" s="55">
        <f t="shared" si="2"/>
        <v>-179372</v>
      </c>
      <c r="O7" s="55">
        <f t="shared" si="3"/>
        <v>-159703</v>
      </c>
      <c r="P7" s="55">
        <f t="shared" si="3"/>
        <v>-150695</v>
      </c>
      <c r="Q7" s="56">
        <f t="shared" si="4"/>
        <v>-148667</v>
      </c>
    </row>
    <row r="8" spans="2:17" s="10" customFormat="1" ht="15" thickBot="1" x14ac:dyDescent="0.3">
      <c r="D8" s="82" t="s">
        <v>38</v>
      </c>
      <c r="E8" s="83">
        <v>-156735</v>
      </c>
      <c r="F8" s="83">
        <v>-39906</v>
      </c>
      <c r="G8" s="83">
        <v>-76428</v>
      </c>
      <c r="H8" s="83">
        <v>-116299</v>
      </c>
      <c r="I8" s="83">
        <v>-159676</v>
      </c>
      <c r="J8" s="84">
        <v>-40258</v>
      </c>
      <c r="K8" s="85">
        <f t="shared" si="0"/>
        <v>8.8207287124744127E-3</v>
      </c>
      <c r="L8" s="13"/>
      <c r="M8" s="83">
        <f t="shared" si="1"/>
        <v>-39906</v>
      </c>
      <c r="N8" s="83">
        <f t="shared" si="2"/>
        <v>-36522</v>
      </c>
      <c r="O8" s="83">
        <f t="shared" si="3"/>
        <v>-39871</v>
      </c>
      <c r="P8" s="83">
        <f t="shared" si="3"/>
        <v>-43377</v>
      </c>
      <c r="Q8" s="84">
        <f t="shared" si="4"/>
        <v>-40258</v>
      </c>
    </row>
    <row r="9" spans="2:17" s="10" customFormat="1" ht="15" thickBot="1" x14ac:dyDescent="0.3">
      <c r="D9" s="40" t="s">
        <v>35</v>
      </c>
      <c r="E9" s="58">
        <f t="shared" ref="E9:J9" si="5">SUM(E6,E7,E8)</f>
        <v>37662</v>
      </c>
      <c r="F9" s="58">
        <f t="shared" si="5"/>
        <v>-13011</v>
      </c>
      <c r="G9" s="58">
        <f t="shared" si="5"/>
        <v>-35222</v>
      </c>
      <c r="H9" s="58">
        <f t="shared" si="5"/>
        <v>-38369</v>
      </c>
      <c r="I9" s="58">
        <f t="shared" si="5"/>
        <v>-34907</v>
      </c>
      <c r="J9" s="59">
        <f t="shared" si="5"/>
        <v>6946</v>
      </c>
      <c r="K9" s="86" t="s">
        <v>195</v>
      </c>
      <c r="L9" s="13"/>
      <c r="M9" s="58">
        <f>SUM(M6,M7,M8)</f>
        <v>-13011</v>
      </c>
      <c r="N9" s="58">
        <f>SUM(N6,N7,N8)</f>
        <v>-22211</v>
      </c>
      <c r="O9" s="58">
        <f>SUM(O6,O7,O8)</f>
        <v>-3147</v>
      </c>
      <c r="P9" s="58">
        <f>SUM(P6,P7,P8)</f>
        <v>3462</v>
      </c>
      <c r="Q9" s="59">
        <f>SUM(Q6,Q7,Q8)</f>
        <v>6946</v>
      </c>
    </row>
    <row r="10" spans="2:17" s="10" customFormat="1" ht="9" customHeight="1" x14ac:dyDescent="0.25">
      <c r="D10" s="31"/>
      <c r="E10" s="43"/>
      <c r="F10" s="43"/>
      <c r="G10" s="43"/>
      <c r="H10" s="43"/>
      <c r="I10" s="43"/>
      <c r="J10" s="47"/>
      <c r="K10" s="47"/>
      <c r="L10" s="13"/>
    </row>
    <row r="11" spans="2:17" s="10" customFormat="1" x14ac:dyDescent="0.25">
      <c r="D11" s="52"/>
      <c r="E11" s="87"/>
      <c r="F11" s="87"/>
      <c r="G11" s="87"/>
      <c r="H11" s="87"/>
      <c r="I11" s="87"/>
      <c r="J11" s="27"/>
      <c r="K11" s="27" t="s">
        <v>29</v>
      </c>
      <c r="L11" s="13"/>
      <c r="P11" s="27"/>
      <c r="Q11" s="27" t="s">
        <v>29</v>
      </c>
    </row>
    <row r="12" spans="2:17" s="10" customFormat="1" x14ac:dyDescent="0.25">
      <c r="D12" s="52"/>
      <c r="E12" s="87"/>
      <c r="F12" s="87"/>
      <c r="G12" s="87"/>
      <c r="H12" s="87"/>
      <c r="I12" s="87"/>
      <c r="J12" s="87"/>
      <c r="K12" s="87"/>
      <c r="L12" s="13"/>
    </row>
    <row r="13" spans="2:17" s="10" customFormat="1" x14ac:dyDescent="0.25">
      <c r="D13" s="31"/>
      <c r="E13" s="43"/>
      <c r="F13" s="43"/>
      <c r="G13" s="43"/>
      <c r="H13" s="43"/>
      <c r="I13" s="43"/>
      <c r="J13" s="47"/>
      <c r="K13" s="47"/>
      <c r="L13" s="13"/>
    </row>
    <row r="14" spans="2:17" s="10" customFormat="1" ht="15" thickBot="1" x14ac:dyDescent="0.3">
      <c r="D14" s="23"/>
      <c r="E14" s="45" t="s">
        <v>16</v>
      </c>
      <c r="F14" s="45" t="s">
        <v>17</v>
      </c>
      <c r="G14" s="45" t="s">
        <v>88</v>
      </c>
      <c r="H14" s="45" t="s">
        <v>92</v>
      </c>
      <c r="I14" s="45" t="s">
        <v>95</v>
      </c>
      <c r="J14" s="74" t="s">
        <v>193</v>
      </c>
      <c r="K14" s="88" t="s">
        <v>2</v>
      </c>
      <c r="L14" s="13"/>
      <c r="M14" s="45" t="s">
        <v>41</v>
      </c>
      <c r="N14" s="45" t="s">
        <v>89</v>
      </c>
      <c r="O14" s="45" t="s">
        <v>93</v>
      </c>
      <c r="P14" s="45" t="s">
        <v>94</v>
      </c>
      <c r="Q14" s="74" t="s">
        <v>194</v>
      </c>
    </row>
    <row r="15" spans="2:17" s="10" customFormat="1" x14ac:dyDescent="0.25">
      <c r="D15" s="46" t="s">
        <v>39</v>
      </c>
      <c r="E15" s="47">
        <f t="shared" ref="E15:J15" si="6">-E7/E6</f>
        <v>0.74187538921781992</v>
      </c>
      <c r="F15" s="47">
        <f t="shared" si="6"/>
        <v>0.85844066297877264</v>
      </c>
      <c r="G15" s="47">
        <f t="shared" si="6"/>
        <v>0.89260153150852029</v>
      </c>
      <c r="H15" s="47">
        <f t="shared" si="6"/>
        <v>0.86566132449349342</v>
      </c>
      <c r="I15" s="47">
        <f t="shared" si="6"/>
        <v>0.8395532608485986</v>
      </c>
      <c r="J15" s="48">
        <f t="shared" si="6"/>
        <v>0.75900465102031434</v>
      </c>
      <c r="K15" s="69">
        <f>(J15-F15)*100</f>
        <v>-9.9436011958458295</v>
      </c>
      <c r="L15" s="13"/>
      <c r="M15" s="47">
        <f>-M7/M6</f>
        <v>0.85844066297877264</v>
      </c>
      <c r="N15" s="47">
        <f>-N7/N6</f>
        <v>0.92611122297775228</v>
      </c>
      <c r="O15" s="47">
        <f>-O7/O6</f>
        <v>0.81303995886512548</v>
      </c>
      <c r="P15" s="47">
        <f>-P7/P6</f>
        <v>0.76288132675893772</v>
      </c>
      <c r="Q15" s="48">
        <f>-Q7/Q6</f>
        <v>0.75900465102031434</v>
      </c>
    </row>
    <row r="16" spans="2:17" s="10" customFormat="1" ht="15" thickBot="1" x14ac:dyDescent="0.3">
      <c r="D16" s="46" t="s">
        <v>40</v>
      </c>
      <c r="E16" s="47">
        <f t="shared" ref="E16:J16" si="7">-E8/E6</f>
        <v>0.20811617911256344</v>
      </c>
      <c r="F16" s="47">
        <f t="shared" si="7"/>
        <v>0.21004152828291867</v>
      </c>
      <c r="G16" s="47">
        <f t="shared" si="7"/>
        <v>0.19920036280800887</v>
      </c>
      <c r="H16" s="47">
        <f t="shared" si="7"/>
        <v>0.2004806059634443</v>
      </c>
      <c r="I16" s="47">
        <f t="shared" si="7"/>
        <v>0.20533540799989713</v>
      </c>
      <c r="J16" s="48">
        <f t="shared" si="7"/>
        <v>0.20553323360783374</v>
      </c>
      <c r="K16" s="69">
        <f t="shared" ref="K16:K17" si="8">(J16-F16)*100</f>
        <v>-0.45082946750849284</v>
      </c>
      <c r="L16" s="13"/>
      <c r="M16" s="47">
        <f>-M8/M6</f>
        <v>0.21004152828291867</v>
      </c>
      <c r="N16" s="47">
        <f>-N8/N6</f>
        <v>0.18856585244962129</v>
      </c>
      <c r="O16" s="47">
        <f>-O8/O6</f>
        <v>0.20298126021371807</v>
      </c>
      <c r="P16" s="47">
        <f>-P8/P6</f>
        <v>0.21959257646784858</v>
      </c>
      <c r="Q16" s="48">
        <f>-Q8/Q6</f>
        <v>0.20553323360783374</v>
      </c>
    </row>
    <row r="17" spans="4:17" s="10" customFormat="1" ht="15" thickBot="1" x14ac:dyDescent="0.3">
      <c r="D17" s="40" t="s">
        <v>36</v>
      </c>
      <c r="E17" s="49">
        <f t="shared" ref="E17:J17" si="9">-(E7+E8)/E6</f>
        <v>0.94999156833038334</v>
      </c>
      <c r="F17" s="49">
        <f t="shared" si="9"/>
        <v>1.0684821912616913</v>
      </c>
      <c r="G17" s="49">
        <f t="shared" si="9"/>
        <v>1.0918018943165291</v>
      </c>
      <c r="H17" s="49">
        <f t="shared" si="9"/>
        <v>1.0661419304569377</v>
      </c>
      <c r="I17" s="49">
        <f t="shared" si="9"/>
        <v>1.0448886688484957</v>
      </c>
      <c r="J17" s="50">
        <f t="shared" si="9"/>
        <v>0.96453788462814816</v>
      </c>
      <c r="K17" s="89">
        <f t="shared" si="8"/>
        <v>-10.394430663354315</v>
      </c>
      <c r="L17" s="13"/>
      <c r="M17" s="49">
        <f>-(M7+M8)/M6</f>
        <v>1.0684821912616913</v>
      </c>
      <c r="N17" s="49">
        <f>-(N7+N8)/N6</f>
        <v>1.1146770754273736</v>
      </c>
      <c r="O17" s="49">
        <f>-(O7+O8)/O6</f>
        <v>1.0160212190788436</v>
      </c>
      <c r="P17" s="49">
        <f>-(P7+P8)/P6</f>
        <v>0.98247390322678629</v>
      </c>
      <c r="Q17" s="50">
        <f>-(Q7+Q8)/Q6</f>
        <v>0.96453788462814816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6" width="11" style="73" customWidth="1"/>
    <col min="7" max="8" width="11" style="73" hidden="1" customWidth="1" outlineLevel="1"/>
    <col min="9" max="9" width="11" style="73" customWidth="1" collapsed="1"/>
    <col min="10" max="11" width="11" style="73" customWidth="1"/>
    <col min="12" max="12" width="3" style="13" customWidth="1"/>
    <col min="13" max="16384" width="10.85546875" style="73"/>
  </cols>
  <sheetData>
    <row r="1" spans="2:17" ht="16.5" customHeight="1" x14ac:dyDescent="0.2"/>
    <row r="2" spans="2:17" ht="18.75" customHeight="1" thickBot="1" x14ac:dyDescent="0.25">
      <c r="B2" s="11" t="s">
        <v>27</v>
      </c>
      <c r="D2" s="14" t="s">
        <v>110</v>
      </c>
      <c r="E2" s="14"/>
      <c r="F2" s="14"/>
      <c r="G2" s="14"/>
      <c r="H2" s="14"/>
      <c r="I2" s="14"/>
      <c r="J2" s="14"/>
      <c r="K2" s="14"/>
      <c r="M2" s="14" t="s">
        <v>34</v>
      </c>
      <c r="N2" s="14"/>
      <c r="O2" s="14"/>
      <c r="P2" s="14"/>
      <c r="Q2" s="14"/>
    </row>
    <row r="4" spans="2:17" s="10" customFormat="1" ht="15" thickBot="1" x14ac:dyDescent="0.3">
      <c r="D4" s="23"/>
      <c r="E4" s="45" t="s">
        <v>16</v>
      </c>
      <c r="F4" s="45" t="s">
        <v>17</v>
      </c>
      <c r="G4" s="45" t="s">
        <v>88</v>
      </c>
      <c r="H4" s="45" t="s">
        <v>92</v>
      </c>
      <c r="I4" s="45" t="s">
        <v>95</v>
      </c>
      <c r="J4" s="74" t="s">
        <v>193</v>
      </c>
      <c r="K4" s="75" t="s">
        <v>0</v>
      </c>
      <c r="L4" s="13"/>
      <c r="M4" s="45" t="s">
        <v>41</v>
      </c>
      <c r="N4" s="45" t="s">
        <v>89</v>
      </c>
      <c r="O4" s="45" t="s">
        <v>93</v>
      </c>
      <c r="P4" s="45" t="s">
        <v>94</v>
      </c>
      <c r="Q4" s="74" t="s">
        <v>194</v>
      </c>
    </row>
    <row r="5" spans="2:17" s="10" customFormat="1" x14ac:dyDescent="0.25">
      <c r="D5" s="31" t="s">
        <v>96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7">
        <v>39270</v>
      </c>
      <c r="K5" s="78">
        <f t="shared" ref="K5:K8" si="0">+J5/F5-1</f>
        <v>4.4220490866062168E-2</v>
      </c>
      <c r="L5" s="13"/>
      <c r="M5" s="76">
        <f>F5</f>
        <v>37607</v>
      </c>
      <c r="N5" s="76">
        <f>G5-F5</f>
        <v>37676</v>
      </c>
      <c r="O5" s="76">
        <f>H5-G5</f>
        <v>36321</v>
      </c>
      <c r="P5" s="76">
        <f>I5-H5</f>
        <v>37826</v>
      </c>
      <c r="Q5" s="77">
        <f>J5</f>
        <v>39270</v>
      </c>
    </row>
    <row r="6" spans="2:17" s="10" customFormat="1" x14ac:dyDescent="0.25">
      <c r="D6" s="31" t="s">
        <v>97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7">
        <v>35991</v>
      </c>
      <c r="K6" s="78">
        <f t="shared" si="0"/>
        <v>4.521693674856242E-2</v>
      </c>
      <c r="L6" s="13"/>
      <c r="M6" s="76">
        <f t="shared" ref="M6:M8" si="1">F6</f>
        <v>34434</v>
      </c>
      <c r="N6" s="76">
        <f t="shared" ref="N6:P8" si="2">G6-F6</f>
        <v>35408</v>
      </c>
      <c r="O6" s="76">
        <f t="shared" si="2"/>
        <v>35914</v>
      </c>
      <c r="P6" s="76">
        <f t="shared" si="2"/>
        <v>36200</v>
      </c>
      <c r="Q6" s="77">
        <f t="shared" ref="Q6:Q8" si="3">J6</f>
        <v>35991</v>
      </c>
    </row>
    <row r="7" spans="2:17" s="79" customFormat="1" x14ac:dyDescent="0.25">
      <c r="D7" s="80" t="s">
        <v>37</v>
      </c>
      <c r="E7" s="55">
        <v>-80002</v>
      </c>
      <c r="F7" s="55">
        <v>-25797</v>
      </c>
      <c r="G7" s="55">
        <v>-45860</v>
      </c>
      <c r="H7" s="55">
        <v>-71056</v>
      </c>
      <c r="I7" s="55">
        <v>-94121</v>
      </c>
      <c r="J7" s="56">
        <v>-24877</v>
      </c>
      <c r="K7" s="81">
        <f t="shared" si="0"/>
        <v>-3.5663061596309609E-2</v>
      </c>
      <c r="M7" s="55">
        <f t="shared" si="1"/>
        <v>-25797</v>
      </c>
      <c r="N7" s="55">
        <f t="shared" si="2"/>
        <v>-20063</v>
      </c>
      <c r="O7" s="55">
        <f t="shared" si="2"/>
        <v>-25196</v>
      </c>
      <c r="P7" s="55">
        <f t="shared" si="2"/>
        <v>-23065</v>
      </c>
      <c r="Q7" s="56">
        <f t="shared" si="3"/>
        <v>-24877</v>
      </c>
    </row>
    <row r="8" spans="2:17" s="79" customFormat="1" ht="15" thickBot="1" x14ac:dyDescent="0.3">
      <c r="D8" s="80" t="s">
        <v>38</v>
      </c>
      <c r="E8" s="83">
        <v>-42224</v>
      </c>
      <c r="F8" s="83">
        <v>-9153</v>
      </c>
      <c r="G8" s="83">
        <v>-20863</v>
      </c>
      <c r="H8" s="83">
        <v>-31305</v>
      </c>
      <c r="I8" s="83">
        <v>-41833</v>
      </c>
      <c r="J8" s="84">
        <v>-9895</v>
      </c>
      <c r="K8" s="81">
        <f t="shared" si="0"/>
        <v>8.1066317054517611E-2</v>
      </c>
      <c r="M8" s="55">
        <f t="shared" si="1"/>
        <v>-9153</v>
      </c>
      <c r="N8" s="55">
        <f t="shared" si="2"/>
        <v>-11710</v>
      </c>
      <c r="O8" s="55">
        <f t="shared" si="2"/>
        <v>-10442</v>
      </c>
      <c r="P8" s="55">
        <f t="shared" si="2"/>
        <v>-10528</v>
      </c>
      <c r="Q8" s="56">
        <f t="shared" si="3"/>
        <v>-9895</v>
      </c>
    </row>
    <row r="9" spans="2:17" s="10" customFormat="1" ht="15" thickBot="1" x14ac:dyDescent="0.3">
      <c r="D9" s="40" t="s">
        <v>35</v>
      </c>
      <c r="E9" s="58">
        <f t="shared" ref="E9:J9" si="4">SUM(E6,E7,E8)</f>
        <v>7574</v>
      </c>
      <c r="F9" s="58">
        <f t="shared" si="4"/>
        <v>-516</v>
      </c>
      <c r="G9" s="58">
        <f t="shared" si="4"/>
        <v>3119</v>
      </c>
      <c r="H9" s="58">
        <f t="shared" si="4"/>
        <v>3395</v>
      </c>
      <c r="I9" s="58">
        <f t="shared" si="4"/>
        <v>6002</v>
      </c>
      <c r="J9" s="59">
        <f t="shared" si="4"/>
        <v>1219</v>
      </c>
      <c r="K9" s="86" t="s">
        <v>195</v>
      </c>
      <c r="L9" s="13"/>
      <c r="M9" s="58">
        <f>SUM(M6,M7,M8)</f>
        <v>-516</v>
      </c>
      <c r="N9" s="58">
        <f>SUM(N6,N7,N8)</f>
        <v>3635</v>
      </c>
      <c r="O9" s="58">
        <f>SUM(O6,O7,O8)</f>
        <v>276</v>
      </c>
      <c r="P9" s="58">
        <f>SUM(P6,P7,P8)</f>
        <v>2607</v>
      </c>
      <c r="Q9" s="59">
        <f>SUM(Q6,Q7,Q8)</f>
        <v>1219</v>
      </c>
    </row>
    <row r="10" spans="2:17" s="10" customFormat="1" ht="9" customHeight="1" x14ac:dyDescent="0.25">
      <c r="D10" s="31"/>
      <c r="E10" s="43"/>
      <c r="F10" s="43"/>
      <c r="G10" s="43"/>
      <c r="H10" s="43"/>
      <c r="I10" s="43"/>
      <c r="J10" s="47"/>
      <c r="K10" s="47"/>
      <c r="L10" s="13"/>
    </row>
    <row r="11" spans="2:17" s="10" customFormat="1" x14ac:dyDescent="0.25">
      <c r="D11" s="52"/>
      <c r="E11" s="87"/>
      <c r="F11" s="87"/>
      <c r="G11" s="87"/>
      <c r="H11" s="87"/>
      <c r="I11" s="87"/>
      <c r="J11" s="27"/>
      <c r="K11" s="27" t="s">
        <v>29</v>
      </c>
      <c r="L11" s="13"/>
      <c r="P11" s="27"/>
      <c r="Q11" s="27" t="s">
        <v>29</v>
      </c>
    </row>
    <row r="12" spans="2:17" s="10" customFormat="1" x14ac:dyDescent="0.25">
      <c r="D12" s="52"/>
      <c r="E12" s="87"/>
      <c r="F12" s="87"/>
      <c r="G12" s="87"/>
      <c r="H12" s="87"/>
      <c r="I12" s="87"/>
      <c r="J12" s="87"/>
      <c r="K12" s="87"/>
      <c r="L12" s="13"/>
    </row>
    <row r="13" spans="2:17" s="10" customFormat="1" x14ac:dyDescent="0.25">
      <c r="D13" s="31"/>
      <c r="E13" s="43"/>
      <c r="F13" s="43"/>
      <c r="G13" s="43"/>
      <c r="H13" s="43"/>
      <c r="I13" s="43"/>
      <c r="J13" s="47"/>
      <c r="K13" s="47"/>
      <c r="L13" s="13"/>
    </row>
    <row r="14" spans="2:17" s="10" customFormat="1" ht="15" thickBot="1" x14ac:dyDescent="0.3">
      <c r="D14" s="23"/>
      <c r="E14" s="45" t="s">
        <v>16</v>
      </c>
      <c r="F14" s="45" t="s">
        <v>17</v>
      </c>
      <c r="G14" s="45" t="s">
        <v>88</v>
      </c>
      <c r="H14" s="45" t="s">
        <v>92</v>
      </c>
      <c r="I14" s="45" t="s">
        <v>95</v>
      </c>
      <c r="J14" s="74" t="s">
        <v>193</v>
      </c>
      <c r="K14" s="88" t="s">
        <v>2</v>
      </c>
      <c r="L14" s="13"/>
      <c r="M14" s="45" t="s">
        <v>41</v>
      </c>
      <c r="N14" s="45" t="s">
        <v>89</v>
      </c>
      <c r="O14" s="45" t="s">
        <v>93</v>
      </c>
      <c r="P14" s="45" t="s">
        <v>94</v>
      </c>
      <c r="Q14" s="74" t="s">
        <v>194</v>
      </c>
    </row>
    <row r="15" spans="2:17" s="10" customFormat="1" x14ac:dyDescent="0.25">
      <c r="D15" s="46" t="s">
        <v>39</v>
      </c>
      <c r="E15" s="47">
        <f t="shared" ref="E15:J15" si="5">-E7/E6</f>
        <v>0.61634822804314326</v>
      </c>
      <c r="F15" s="47">
        <f t="shared" si="5"/>
        <v>0.74917232967415925</v>
      </c>
      <c r="G15" s="47">
        <f t="shared" si="5"/>
        <v>0.6566249534663956</v>
      </c>
      <c r="H15" s="47">
        <f t="shared" si="5"/>
        <v>0.67188622867733272</v>
      </c>
      <c r="I15" s="47">
        <f t="shared" si="5"/>
        <v>0.66302938938826117</v>
      </c>
      <c r="J15" s="48">
        <f t="shared" si="5"/>
        <v>0.69120057792225831</v>
      </c>
      <c r="K15" s="69">
        <f>(J15-F15)*100</f>
        <v>-5.7971751751900946</v>
      </c>
      <c r="L15" s="13"/>
      <c r="M15" s="47">
        <f>-M7/M6</f>
        <v>0.74917232967415925</v>
      </c>
      <c r="N15" s="47">
        <f>-N7/N6</f>
        <v>0.56662336195210117</v>
      </c>
      <c r="O15" s="47">
        <f>-O7/O6</f>
        <v>0.70156484936236563</v>
      </c>
      <c r="P15" s="47">
        <f>-P7/P6</f>
        <v>0.63715469613259668</v>
      </c>
      <c r="Q15" s="48">
        <f>-Q7/Q6</f>
        <v>0.69120057792225831</v>
      </c>
    </row>
    <row r="16" spans="2:17" s="10" customFormat="1" ht="15" thickBot="1" x14ac:dyDescent="0.3">
      <c r="D16" s="46" t="s">
        <v>40</v>
      </c>
      <c r="E16" s="47">
        <f t="shared" ref="E16:J16" si="6">-E8/E6</f>
        <v>0.32530046224961479</v>
      </c>
      <c r="F16" s="47">
        <f t="shared" si="6"/>
        <v>0.26581285938316779</v>
      </c>
      <c r="G16" s="47">
        <f t="shared" si="6"/>
        <v>0.29871710432118209</v>
      </c>
      <c r="H16" s="47">
        <f t="shared" si="6"/>
        <v>0.29601157381141496</v>
      </c>
      <c r="I16" s="47">
        <f t="shared" si="6"/>
        <v>0.29468990391388883</v>
      </c>
      <c r="J16" s="48">
        <f t="shared" si="6"/>
        <v>0.27492984357200412</v>
      </c>
      <c r="K16" s="69">
        <f t="shared" ref="K16:K17" si="7">(J16-F16)*100</f>
        <v>0.91169841888363301</v>
      </c>
      <c r="L16" s="13"/>
      <c r="M16" s="47">
        <f>-M8/M6</f>
        <v>0.26581285938316779</v>
      </c>
      <c r="N16" s="47">
        <f>-N8/N6</f>
        <v>0.33071622232263898</v>
      </c>
      <c r="O16" s="47">
        <f>-O8/O6</f>
        <v>0.29075012529932615</v>
      </c>
      <c r="P16" s="47">
        <f>-P8/P6</f>
        <v>0.29082872928176795</v>
      </c>
      <c r="Q16" s="48">
        <f>-Q8/Q6</f>
        <v>0.27492984357200412</v>
      </c>
    </row>
    <row r="17" spans="4:17" s="10" customFormat="1" ht="15" thickBot="1" x14ac:dyDescent="0.3">
      <c r="D17" s="40" t="s">
        <v>36</v>
      </c>
      <c r="E17" s="49">
        <f t="shared" ref="E17:J17" si="8">-(E7+E8)/E6</f>
        <v>0.94164869029275811</v>
      </c>
      <c r="F17" s="49">
        <f t="shared" si="8"/>
        <v>1.0149851890573272</v>
      </c>
      <c r="G17" s="49">
        <f t="shared" si="8"/>
        <v>0.95534205778757764</v>
      </c>
      <c r="H17" s="49">
        <f t="shared" si="8"/>
        <v>0.96789780248874768</v>
      </c>
      <c r="I17" s="49">
        <f t="shared" si="8"/>
        <v>0.95771929330215</v>
      </c>
      <c r="J17" s="50">
        <f t="shared" si="8"/>
        <v>0.96613042149426243</v>
      </c>
      <c r="K17" s="89">
        <f t="shared" si="7"/>
        <v>-4.8854767563064723</v>
      </c>
      <c r="L17" s="13"/>
      <c r="M17" s="49">
        <f>-(M7+M8)/M6</f>
        <v>1.0149851890573272</v>
      </c>
      <c r="N17" s="49">
        <f>-(N7+N8)/N6</f>
        <v>0.89733958427474014</v>
      </c>
      <c r="O17" s="49">
        <f>-(O7+O8)/O6</f>
        <v>0.99231497466169183</v>
      </c>
      <c r="P17" s="49">
        <f>-(P7+P8)/P6</f>
        <v>0.92798342541436463</v>
      </c>
      <c r="Q17" s="50">
        <f>-(Q7+Q8)/Q6</f>
        <v>0.96613042149426243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6" width="11" style="73" customWidth="1"/>
    <col min="7" max="8" width="11" style="73" hidden="1" customWidth="1" outlineLevel="1"/>
    <col min="9" max="9" width="11" style="73" customWidth="1" collapsed="1"/>
    <col min="10" max="11" width="11" style="73" customWidth="1"/>
    <col min="12" max="12" width="3" style="13" customWidth="1"/>
    <col min="13" max="16384" width="10.85546875" style="73"/>
  </cols>
  <sheetData>
    <row r="1" spans="2:17" ht="16.5" customHeight="1" x14ac:dyDescent="0.2"/>
    <row r="2" spans="2:17" ht="18.75" customHeight="1" thickBot="1" x14ac:dyDescent="0.25">
      <c r="B2" s="11" t="s">
        <v>27</v>
      </c>
      <c r="D2" s="14" t="s">
        <v>111</v>
      </c>
      <c r="E2" s="14"/>
      <c r="F2" s="14"/>
      <c r="G2" s="14"/>
      <c r="H2" s="14"/>
      <c r="I2" s="14"/>
      <c r="J2" s="14"/>
      <c r="K2" s="14"/>
      <c r="M2" s="14" t="s">
        <v>34</v>
      </c>
      <c r="N2" s="14"/>
      <c r="O2" s="14"/>
      <c r="P2" s="14"/>
      <c r="Q2" s="14"/>
    </row>
    <row r="4" spans="2:17" s="10" customFormat="1" ht="15" thickBot="1" x14ac:dyDescent="0.3">
      <c r="D4" s="23"/>
      <c r="E4" s="45" t="s">
        <v>16</v>
      </c>
      <c r="F4" s="45" t="s">
        <v>17</v>
      </c>
      <c r="G4" s="45" t="s">
        <v>88</v>
      </c>
      <c r="H4" s="45" t="s">
        <v>92</v>
      </c>
      <c r="I4" s="45" t="s">
        <v>95</v>
      </c>
      <c r="J4" s="74" t="s">
        <v>193</v>
      </c>
      <c r="K4" s="75" t="s">
        <v>0</v>
      </c>
      <c r="L4" s="13"/>
      <c r="M4" s="45" t="s">
        <v>41</v>
      </c>
      <c r="N4" s="45" t="s">
        <v>89</v>
      </c>
      <c r="O4" s="45" t="s">
        <v>93</v>
      </c>
      <c r="P4" s="45" t="s">
        <v>94</v>
      </c>
      <c r="Q4" s="74" t="s">
        <v>194</v>
      </c>
    </row>
    <row r="5" spans="2:17" s="10" customFormat="1" x14ac:dyDescent="0.25">
      <c r="D5" s="31" t="s">
        <v>96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7">
        <v>15579</v>
      </c>
      <c r="K5" s="78">
        <f t="shared" ref="K5:K9" si="0">+J5/F5-1</f>
        <v>8.6780606906173618E-2</v>
      </c>
      <c r="L5" s="13"/>
      <c r="M5" s="76">
        <f>F5</f>
        <v>14335</v>
      </c>
      <c r="N5" s="76">
        <f>G5-F5</f>
        <v>5468</v>
      </c>
      <c r="O5" s="76">
        <f>H5-G5</f>
        <v>4532</v>
      </c>
      <c r="P5" s="76">
        <f>I5-H5</f>
        <v>6049</v>
      </c>
      <c r="Q5" s="77">
        <f>J5</f>
        <v>15579</v>
      </c>
    </row>
    <row r="6" spans="2:17" s="10" customFormat="1" x14ac:dyDescent="0.25">
      <c r="D6" s="31" t="s">
        <v>97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7">
        <v>4320</v>
      </c>
      <c r="K6" s="78">
        <f t="shared" si="0"/>
        <v>7.8921078921079024E-2</v>
      </c>
      <c r="L6" s="13"/>
      <c r="M6" s="76">
        <f t="shared" ref="M6:M8" si="1">F6</f>
        <v>4004</v>
      </c>
      <c r="N6" s="76">
        <f t="shared" ref="N6:P8" si="2">G6-F6</f>
        <v>4060</v>
      </c>
      <c r="O6" s="76">
        <f t="shared" si="2"/>
        <v>4140</v>
      </c>
      <c r="P6" s="76">
        <f t="shared" si="2"/>
        <v>4209</v>
      </c>
      <c r="Q6" s="77">
        <f t="shared" ref="Q6:Q8" si="3">J6</f>
        <v>4320</v>
      </c>
    </row>
    <row r="7" spans="2:17" s="79" customFormat="1" x14ac:dyDescent="0.25">
      <c r="D7" s="80" t="s">
        <v>37</v>
      </c>
      <c r="E7" s="55">
        <v>-14494</v>
      </c>
      <c r="F7" s="55">
        <v>-3646</v>
      </c>
      <c r="G7" s="55">
        <v>-7523</v>
      </c>
      <c r="H7" s="55">
        <v>-10683</v>
      </c>
      <c r="I7" s="55">
        <v>-13299</v>
      </c>
      <c r="J7" s="56">
        <v>-3844</v>
      </c>
      <c r="K7" s="81">
        <f t="shared" si="0"/>
        <v>5.430608886450905E-2</v>
      </c>
      <c r="M7" s="55">
        <f t="shared" si="1"/>
        <v>-3646</v>
      </c>
      <c r="N7" s="55">
        <f t="shared" si="2"/>
        <v>-3877</v>
      </c>
      <c r="O7" s="55">
        <f t="shared" si="2"/>
        <v>-3160</v>
      </c>
      <c r="P7" s="55">
        <f t="shared" si="2"/>
        <v>-2616</v>
      </c>
      <c r="Q7" s="56">
        <f t="shared" si="3"/>
        <v>-3844</v>
      </c>
    </row>
    <row r="8" spans="2:17" s="10" customFormat="1" ht="15" thickBot="1" x14ac:dyDescent="0.3">
      <c r="D8" s="82" t="s">
        <v>38</v>
      </c>
      <c r="E8" s="83">
        <v>-9565</v>
      </c>
      <c r="F8" s="83">
        <v>-2562</v>
      </c>
      <c r="G8" s="83">
        <v>-5148</v>
      </c>
      <c r="H8" s="83">
        <v>-8521</v>
      </c>
      <c r="I8" s="83">
        <v>-12672</v>
      </c>
      <c r="J8" s="84">
        <v>-2271</v>
      </c>
      <c r="K8" s="85">
        <f t="shared" si="0"/>
        <v>-0.11358313817330212</v>
      </c>
      <c r="L8" s="13"/>
      <c r="M8" s="83">
        <f t="shared" si="1"/>
        <v>-2562</v>
      </c>
      <c r="N8" s="83">
        <f t="shared" si="2"/>
        <v>-2586</v>
      </c>
      <c r="O8" s="83">
        <f t="shared" si="2"/>
        <v>-3373</v>
      </c>
      <c r="P8" s="83">
        <f t="shared" si="2"/>
        <v>-4151</v>
      </c>
      <c r="Q8" s="84">
        <f t="shared" si="3"/>
        <v>-2271</v>
      </c>
    </row>
    <row r="9" spans="2:17" s="10" customFormat="1" ht="15" thickBot="1" x14ac:dyDescent="0.3">
      <c r="D9" s="40" t="s">
        <v>35</v>
      </c>
      <c r="E9" s="58">
        <f t="shared" ref="E9:J9" si="4">SUM(E6,E7,E8)</f>
        <v>-8458</v>
      </c>
      <c r="F9" s="58">
        <f t="shared" si="4"/>
        <v>-2204</v>
      </c>
      <c r="G9" s="58">
        <f t="shared" si="4"/>
        <v>-4607</v>
      </c>
      <c r="H9" s="58">
        <f t="shared" si="4"/>
        <v>-7000</v>
      </c>
      <c r="I9" s="58">
        <f t="shared" si="4"/>
        <v>-9558</v>
      </c>
      <c r="J9" s="59">
        <f t="shared" si="4"/>
        <v>-1795</v>
      </c>
      <c r="K9" s="86">
        <f t="shared" si="0"/>
        <v>-0.18557168784029043</v>
      </c>
      <c r="L9" s="13"/>
      <c r="M9" s="58">
        <f>SUM(M6,M7,M8)</f>
        <v>-2204</v>
      </c>
      <c r="N9" s="58">
        <f>SUM(N6,N7,N8)</f>
        <v>-2403</v>
      </c>
      <c r="O9" s="58">
        <f>SUM(O6,O7,O8)</f>
        <v>-2393</v>
      </c>
      <c r="P9" s="58">
        <f>SUM(P6,P7,P8)</f>
        <v>-2558</v>
      </c>
      <c r="Q9" s="59">
        <f>SUM(Q6,Q7,Q8)</f>
        <v>-1795</v>
      </c>
    </row>
    <row r="10" spans="2:17" s="10" customFormat="1" ht="9" customHeight="1" x14ac:dyDescent="0.25">
      <c r="D10" s="31"/>
      <c r="E10" s="43"/>
      <c r="F10" s="43"/>
      <c r="G10" s="43"/>
      <c r="H10" s="43"/>
      <c r="I10" s="43"/>
      <c r="J10" s="47"/>
      <c r="K10" s="47"/>
      <c r="L10" s="13"/>
    </row>
    <row r="11" spans="2:17" s="10" customFormat="1" x14ac:dyDescent="0.25">
      <c r="D11" s="52"/>
      <c r="E11" s="87"/>
      <c r="F11" s="87"/>
      <c r="G11" s="87"/>
      <c r="H11" s="87"/>
      <c r="I11" s="87"/>
      <c r="J11" s="27"/>
      <c r="K11" s="27" t="s">
        <v>29</v>
      </c>
      <c r="L11" s="13"/>
      <c r="P11" s="27"/>
      <c r="Q11" s="27" t="s">
        <v>29</v>
      </c>
    </row>
    <row r="12" spans="2:17" s="10" customFormat="1" x14ac:dyDescent="0.25">
      <c r="D12" s="52"/>
      <c r="E12" s="87"/>
      <c r="F12" s="87"/>
      <c r="G12" s="87"/>
      <c r="H12" s="87"/>
      <c r="I12" s="87"/>
      <c r="J12" s="87"/>
      <c r="K12" s="87"/>
      <c r="L12" s="13"/>
    </row>
    <row r="13" spans="2:17" s="10" customFormat="1" x14ac:dyDescent="0.25">
      <c r="D13" s="31"/>
      <c r="E13" s="43"/>
      <c r="F13" s="43"/>
      <c r="G13" s="43"/>
      <c r="H13" s="43"/>
      <c r="I13" s="43"/>
      <c r="J13" s="47"/>
      <c r="K13" s="47"/>
      <c r="L13" s="13"/>
    </row>
    <row r="14" spans="2:17" s="10" customFormat="1" ht="15" thickBot="1" x14ac:dyDescent="0.3">
      <c r="D14" s="23"/>
      <c r="E14" s="45" t="s">
        <v>16</v>
      </c>
      <c r="F14" s="45" t="s">
        <v>17</v>
      </c>
      <c r="G14" s="45" t="s">
        <v>88</v>
      </c>
      <c r="H14" s="45" t="s">
        <v>92</v>
      </c>
      <c r="I14" s="45" t="s">
        <v>95</v>
      </c>
      <c r="J14" s="74" t="s">
        <v>193</v>
      </c>
      <c r="K14" s="88" t="s">
        <v>2</v>
      </c>
      <c r="L14" s="13"/>
      <c r="M14" s="45" t="s">
        <v>41</v>
      </c>
      <c r="N14" s="45" t="s">
        <v>89</v>
      </c>
      <c r="O14" s="45" t="s">
        <v>93</v>
      </c>
      <c r="P14" s="45" t="s">
        <v>94</v>
      </c>
      <c r="Q14" s="74" t="s">
        <v>194</v>
      </c>
    </row>
    <row r="15" spans="2:17" s="10" customFormat="1" x14ac:dyDescent="0.25">
      <c r="D15" s="46" t="s">
        <v>39</v>
      </c>
      <c r="E15" s="47">
        <f t="shared" ref="E15:J15" si="5">-E7/E6</f>
        <v>0.92904301006345746</v>
      </c>
      <c r="F15" s="47">
        <f t="shared" si="5"/>
        <v>0.91058941058941056</v>
      </c>
      <c r="G15" s="47">
        <f t="shared" si="5"/>
        <v>0.93291170634920639</v>
      </c>
      <c r="H15" s="47">
        <f t="shared" si="5"/>
        <v>0.87536873156342188</v>
      </c>
      <c r="I15" s="47">
        <f t="shared" si="5"/>
        <v>0.81027234509230484</v>
      </c>
      <c r="J15" s="48">
        <f t="shared" si="5"/>
        <v>0.88981481481481484</v>
      </c>
      <c r="K15" s="69">
        <f>(J15-F15)*100</f>
        <v>-2.0774595774595728</v>
      </c>
      <c r="L15" s="13"/>
      <c r="M15" s="47">
        <f>-M7/M6</f>
        <v>0.91058941058941056</v>
      </c>
      <c r="N15" s="47">
        <f>-N7/N6</f>
        <v>0.95492610837438419</v>
      </c>
      <c r="O15" s="47">
        <f>-O7/O6</f>
        <v>0.76328502415458932</v>
      </c>
      <c r="P15" s="47">
        <f>-P7/P6</f>
        <v>0.62152530292230934</v>
      </c>
      <c r="Q15" s="48">
        <f>-Q7/Q6</f>
        <v>0.88981481481481484</v>
      </c>
    </row>
    <row r="16" spans="2:17" s="10" customFormat="1" ht="15" thickBot="1" x14ac:dyDescent="0.3">
      <c r="D16" s="46" t="s">
        <v>40</v>
      </c>
      <c r="E16" s="47">
        <f t="shared" ref="E16:J16" si="6">-E8/E6</f>
        <v>0.61310172424844567</v>
      </c>
      <c r="F16" s="47">
        <f t="shared" si="6"/>
        <v>0.6398601398601399</v>
      </c>
      <c r="G16" s="47">
        <f t="shared" si="6"/>
        <v>0.6383928571428571</v>
      </c>
      <c r="H16" s="47">
        <f t="shared" si="6"/>
        <v>0.69821370042608977</v>
      </c>
      <c r="I16" s="47">
        <f t="shared" si="6"/>
        <v>0.77207091939316397</v>
      </c>
      <c r="J16" s="48">
        <f t="shared" si="6"/>
        <v>0.52569444444444446</v>
      </c>
      <c r="K16" s="69">
        <f>(J16-F16)*100</f>
        <v>-11.416569541569544</v>
      </c>
      <c r="L16" s="13"/>
      <c r="M16" s="47">
        <f>-M8/M6</f>
        <v>0.6398601398601399</v>
      </c>
      <c r="N16" s="47">
        <f>-N8/N6</f>
        <v>0.63694581280788176</v>
      </c>
      <c r="O16" s="47">
        <f>-O8/O6</f>
        <v>0.81473429951690823</v>
      </c>
      <c r="P16" s="47">
        <f>-P8/P6</f>
        <v>0.98622000475172245</v>
      </c>
      <c r="Q16" s="48">
        <f>-Q8/Q6</f>
        <v>0.52569444444444446</v>
      </c>
    </row>
    <row r="17" spans="4:17" s="10" customFormat="1" ht="15" thickBot="1" x14ac:dyDescent="0.3">
      <c r="D17" s="40" t="s">
        <v>36</v>
      </c>
      <c r="E17" s="49">
        <f t="shared" ref="E17:J17" si="7">-(E7+E8)/E6</f>
        <v>1.542144734311903</v>
      </c>
      <c r="F17" s="49">
        <f t="shared" si="7"/>
        <v>1.5504495504495504</v>
      </c>
      <c r="G17" s="49">
        <f t="shared" si="7"/>
        <v>1.5713045634920635</v>
      </c>
      <c r="H17" s="49">
        <f t="shared" si="7"/>
        <v>1.5735824319895115</v>
      </c>
      <c r="I17" s="49">
        <f t="shared" si="7"/>
        <v>1.5823432644854689</v>
      </c>
      <c r="J17" s="50">
        <f t="shared" si="7"/>
        <v>1.4155092592592593</v>
      </c>
      <c r="K17" s="89">
        <f>(J17-F17)*100</f>
        <v>-13.494029119029104</v>
      </c>
      <c r="L17" s="13"/>
      <c r="M17" s="49">
        <f>-(M7+M8)/M6</f>
        <v>1.5504495504495504</v>
      </c>
      <c r="N17" s="49">
        <f>-(N7+N8)/N6</f>
        <v>1.5918719211822661</v>
      </c>
      <c r="O17" s="49">
        <f>-(O7+O8)/O6</f>
        <v>1.5780193236714977</v>
      </c>
      <c r="P17" s="49">
        <f>-(P7+P8)/P6</f>
        <v>1.6077453076740318</v>
      </c>
      <c r="Q17" s="50">
        <f>-(Q7+Q8)/Q6</f>
        <v>1.4155092592592593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Q17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6" width="11" style="73" customWidth="1"/>
    <col min="7" max="8" width="11" style="73" hidden="1" customWidth="1" outlineLevel="1"/>
    <col min="9" max="9" width="11" style="73" customWidth="1" collapsed="1"/>
    <col min="10" max="11" width="11" style="73" customWidth="1"/>
    <col min="12" max="12" width="3" style="13" customWidth="1"/>
    <col min="13" max="16384" width="10.85546875" style="73"/>
  </cols>
  <sheetData>
    <row r="1" spans="2:17" ht="16.5" customHeight="1" x14ac:dyDescent="0.2"/>
    <row r="2" spans="2:17" ht="18.75" customHeight="1" thickBot="1" x14ac:dyDescent="0.25">
      <c r="B2" s="11" t="s">
        <v>27</v>
      </c>
      <c r="D2" s="14" t="s">
        <v>112</v>
      </c>
      <c r="E2" s="14"/>
      <c r="F2" s="14"/>
      <c r="G2" s="14"/>
      <c r="H2" s="14"/>
      <c r="I2" s="14"/>
      <c r="J2" s="14"/>
      <c r="K2" s="14"/>
      <c r="M2" s="14" t="s">
        <v>34</v>
      </c>
      <c r="N2" s="14"/>
      <c r="O2" s="14"/>
      <c r="P2" s="14"/>
      <c r="Q2" s="14"/>
    </row>
    <row r="4" spans="2:17" s="10" customFormat="1" ht="15" thickBot="1" x14ac:dyDescent="0.3">
      <c r="D4" s="23"/>
      <c r="E4" s="45" t="s">
        <v>16</v>
      </c>
      <c r="F4" s="45" t="s">
        <v>17</v>
      </c>
      <c r="G4" s="45" t="s">
        <v>88</v>
      </c>
      <c r="H4" s="45" t="s">
        <v>92</v>
      </c>
      <c r="I4" s="45" t="s">
        <v>95</v>
      </c>
      <c r="J4" s="74" t="s">
        <v>193</v>
      </c>
      <c r="K4" s="75" t="s">
        <v>0</v>
      </c>
      <c r="L4" s="13"/>
      <c r="M4" s="45" t="s">
        <v>41</v>
      </c>
      <c r="N4" s="45" t="s">
        <v>89</v>
      </c>
      <c r="O4" s="45" t="s">
        <v>93</v>
      </c>
      <c r="P4" s="45" t="s">
        <v>94</v>
      </c>
      <c r="Q4" s="74" t="s">
        <v>194</v>
      </c>
    </row>
    <row r="5" spans="2:17" s="10" customFormat="1" x14ac:dyDescent="0.25">
      <c r="D5" s="31" t="s">
        <v>96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7">
        <v>799</v>
      </c>
      <c r="K5" s="78">
        <f t="shared" ref="K5:K9" si="0">+J5/F5-1</f>
        <v>7.8272604588394135E-2</v>
      </c>
      <c r="L5" s="13"/>
      <c r="M5" s="76">
        <f>F5</f>
        <v>741</v>
      </c>
      <c r="N5" s="76">
        <f>G5-F5</f>
        <v>13</v>
      </c>
      <c r="O5" s="76">
        <f>H5-G5</f>
        <v>13</v>
      </c>
      <c r="P5" s="76">
        <f>I5-H5</f>
        <v>16</v>
      </c>
      <c r="Q5" s="77">
        <f>J5</f>
        <v>799</v>
      </c>
    </row>
    <row r="6" spans="2:17" s="10" customFormat="1" x14ac:dyDescent="0.25">
      <c r="D6" s="31" t="s">
        <v>97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7">
        <v>188</v>
      </c>
      <c r="K6" s="78">
        <f t="shared" si="0"/>
        <v>-0.19999999999999996</v>
      </c>
      <c r="L6" s="13"/>
      <c r="M6" s="76">
        <f t="shared" ref="M6:M8" si="1">F6</f>
        <v>235</v>
      </c>
      <c r="N6" s="76">
        <f t="shared" ref="N6:P8" si="2">G6-F6</f>
        <v>178</v>
      </c>
      <c r="O6" s="76">
        <f t="shared" si="2"/>
        <v>180</v>
      </c>
      <c r="P6" s="76">
        <f t="shared" si="2"/>
        <v>180</v>
      </c>
      <c r="Q6" s="77">
        <f t="shared" ref="Q6:Q8" si="3">J6</f>
        <v>188</v>
      </c>
    </row>
    <row r="7" spans="2:17" s="79" customFormat="1" x14ac:dyDescent="0.25">
      <c r="D7" s="80" t="s">
        <v>37</v>
      </c>
      <c r="E7" s="55">
        <v>-647</v>
      </c>
      <c r="F7" s="55">
        <v>-95</v>
      </c>
      <c r="G7" s="55">
        <v>-195</v>
      </c>
      <c r="H7" s="55">
        <v>-305</v>
      </c>
      <c r="I7" s="55">
        <v>-476</v>
      </c>
      <c r="J7" s="56">
        <v>-111</v>
      </c>
      <c r="K7" s="81">
        <f t="shared" si="0"/>
        <v>0.16842105263157903</v>
      </c>
      <c r="M7" s="55">
        <f t="shared" si="1"/>
        <v>-95</v>
      </c>
      <c r="N7" s="55">
        <f t="shared" si="2"/>
        <v>-100</v>
      </c>
      <c r="O7" s="55">
        <f t="shared" si="2"/>
        <v>-110</v>
      </c>
      <c r="P7" s="55">
        <f t="shared" si="2"/>
        <v>-171</v>
      </c>
      <c r="Q7" s="56">
        <f t="shared" si="3"/>
        <v>-111</v>
      </c>
    </row>
    <row r="8" spans="2:17" s="10" customFormat="1" ht="15" thickBot="1" x14ac:dyDescent="0.3">
      <c r="D8" s="82" t="s">
        <v>38</v>
      </c>
      <c r="E8" s="83">
        <v>-66</v>
      </c>
      <c r="F8" s="83">
        <v>-36</v>
      </c>
      <c r="G8" s="83">
        <v>-43</v>
      </c>
      <c r="H8" s="83">
        <v>-57</v>
      </c>
      <c r="I8" s="83">
        <v>-59</v>
      </c>
      <c r="J8" s="84">
        <v>-136</v>
      </c>
      <c r="K8" s="85">
        <f t="shared" si="0"/>
        <v>2.7777777777777777</v>
      </c>
      <c r="L8" s="13"/>
      <c r="M8" s="83">
        <f t="shared" si="1"/>
        <v>-36</v>
      </c>
      <c r="N8" s="83">
        <f t="shared" si="2"/>
        <v>-7</v>
      </c>
      <c r="O8" s="83">
        <f t="shared" si="2"/>
        <v>-14</v>
      </c>
      <c r="P8" s="83">
        <f t="shared" si="2"/>
        <v>-2</v>
      </c>
      <c r="Q8" s="84">
        <f t="shared" si="3"/>
        <v>-136</v>
      </c>
    </row>
    <row r="9" spans="2:17" s="10" customFormat="1" ht="15" thickBot="1" x14ac:dyDescent="0.3">
      <c r="D9" s="40" t="s">
        <v>35</v>
      </c>
      <c r="E9" s="58">
        <f t="shared" ref="E9:J9" si="4">SUM(E6,E7,E8)</f>
        <v>352</v>
      </c>
      <c r="F9" s="58">
        <f t="shared" si="4"/>
        <v>104</v>
      </c>
      <c r="G9" s="58">
        <f t="shared" si="4"/>
        <v>175</v>
      </c>
      <c r="H9" s="58">
        <f t="shared" si="4"/>
        <v>231</v>
      </c>
      <c r="I9" s="58">
        <f t="shared" si="4"/>
        <v>238</v>
      </c>
      <c r="J9" s="59">
        <f t="shared" si="4"/>
        <v>-59</v>
      </c>
      <c r="K9" s="86">
        <f t="shared" si="0"/>
        <v>-1.5673076923076923</v>
      </c>
      <c r="L9" s="13"/>
      <c r="M9" s="58">
        <f>SUM(M6,M7,M8)</f>
        <v>104</v>
      </c>
      <c r="N9" s="58">
        <f>SUM(N6,N7,N8)</f>
        <v>71</v>
      </c>
      <c r="O9" s="58">
        <f>SUM(O6,O7,O8)</f>
        <v>56</v>
      </c>
      <c r="P9" s="58">
        <f>SUM(P6,P7,P8)</f>
        <v>7</v>
      </c>
      <c r="Q9" s="59">
        <f>SUM(Q6,Q7,Q8)</f>
        <v>-59</v>
      </c>
    </row>
    <row r="10" spans="2:17" s="10" customFormat="1" ht="9" customHeight="1" x14ac:dyDescent="0.25">
      <c r="D10" s="31"/>
      <c r="E10" s="43"/>
      <c r="F10" s="43"/>
      <c r="G10" s="43"/>
      <c r="H10" s="43"/>
      <c r="I10" s="43"/>
      <c r="J10" s="47"/>
      <c r="K10" s="47"/>
      <c r="L10" s="13"/>
    </row>
    <row r="11" spans="2:17" s="10" customFormat="1" x14ac:dyDescent="0.25">
      <c r="D11" s="52"/>
      <c r="E11" s="87"/>
      <c r="F11" s="87"/>
      <c r="G11" s="87"/>
      <c r="H11" s="87"/>
      <c r="I11" s="87"/>
      <c r="J11" s="27"/>
      <c r="K11" s="27" t="s">
        <v>29</v>
      </c>
      <c r="L11" s="13"/>
      <c r="P11" s="27"/>
      <c r="Q11" s="27" t="s">
        <v>29</v>
      </c>
    </row>
    <row r="12" spans="2:17" s="10" customFormat="1" x14ac:dyDescent="0.25">
      <c r="D12" s="52"/>
      <c r="E12" s="87"/>
      <c r="F12" s="87"/>
      <c r="G12" s="87"/>
      <c r="H12" s="87"/>
      <c r="I12" s="87"/>
      <c r="J12" s="87"/>
      <c r="K12" s="87"/>
      <c r="L12" s="13"/>
    </row>
    <row r="13" spans="2:17" s="10" customFormat="1" x14ac:dyDescent="0.25">
      <c r="D13" s="31"/>
      <c r="E13" s="43"/>
      <c r="F13" s="43"/>
      <c r="G13" s="43"/>
      <c r="H13" s="43"/>
      <c r="I13" s="43"/>
      <c r="J13" s="47"/>
      <c r="K13" s="47"/>
      <c r="L13" s="13"/>
    </row>
    <row r="14" spans="2:17" s="10" customFormat="1" ht="15" thickBot="1" x14ac:dyDescent="0.3">
      <c r="D14" s="23"/>
      <c r="E14" s="45" t="s">
        <v>16</v>
      </c>
      <c r="F14" s="45" t="s">
        <v>17</v>
      </c>
      <c r="G14" s="45" t="s">
        <v>88</v>
      </c>
      <c r="H14" s="45" t="s">
        <v>92</v>
      </c>
      <c r="I14" s="45" t="s">
        <v>95</v>
      </c>
      <c r="J14" s="74" t="s">
        <v>193</v>
      </c>
      <c r="K14" s="88" t="s">
        <v>2</v>
      </c>
      <c r="L14" s="13"/>
      <c r="M14" s="45" t="s">
        <v>41</v>
      </c>
      <c r="N14" s="45" t="s">
        <v>89</v>
      </c>
      <c r="O14" s="45" t="s">
        <v>93</v>
      </c>
      <c r="P14" s="45" t="s">
        <v>94</v>
      </c>
      <c r="Q14" s="74" t="s">
        <v>194</v>
      </c>
    </row>
    <row r="15" spans="2:17" s="10" customFormat="1" x14ac:dyDescent="0.25">
      <c r="D15" s="46" t="s">
        <v>39</v>
      </c>
      <c r="E15" s="47">
        <f t="shared" ref="E15:J15" si="5">-E7/E6</f>
        <v>0.60751173708920192</v>
      </c>
      <c r="F15" s="47">
        <f t="shared" si="5"/>
        <v>0.40425531914893614</v>
      </c>
      <c r="G15" s="47">
        <f t="shared" si="5"/>
        <v>0.4721549636803874</v>
      </c>
      <c r="H15" s="47">
        <f t="shared" si="5"/>
        <v>0.51433389544688024</v>
      </c>
      <c r="I15" s="47">
        <f t="shared" si="5"/>
        <v>0.61578266494178524</v>
      </c>
      <c r="J15" s="48">
        <f t="shared" si="5"/>
        <v>0.59042553191489366</v>
      </c>
      <c r="K15" s="69">
        <f>(J15-F15)*100</f>
        <v>18.617021276595754</v>
      </c>
      <c r="L15" s="13"/>
      <c r="M15" s="47">
        <f>-M7/M6</f>
        <v>0.40425531914893614</v>
      </c>
      <c r="N15" s="47">
        <f>-N7/N6</f>
        <v>0.5617977528089888</v>
      </c>
      <c r="O15" s="47">
        <f>-O7/O6</f>
        <v>0.61111111111111116</v>
      </c>
      <c r="P15" s="47">
        <f>-P7/P6</f>
        <v>0.95</v>
      </c>
      <c r="Q15" s="48">
        <f>-Q7/Q6</f>
        <v>0.59042553191489366</v>
      </c>
    </row>
    <row r="16" spans="2:17" s="10" customFormat="1" ht="15" thickBot="1" x14ac:dyDescent="0.3">
      <c r="D16" s="46" t="s">
        <v>40</v>
      </c>
      <c r="E16" s="47">
        <f t="shared" ref="E16:J16" si="6">-E8/E6</f>
        <v>6.1971830985915494E-2</v>
      </c>
      <c r="F16" s="47">
        <f t="shared" si="6"/>
        <v>0.15319148936170213</v>
      </c>
      <c r="G16" s="47">
        <f t="shared" si="6"/>
        <v>0.10411622276029056</v>
      </c>
      <c r="H16" s="47">
        <f t="shared" si="6"/>
        <v>9.6121416526138273E-2</v>
      </c>
      <c r="I16" s="47">
        <f t="shared" si="6"/>
        <v>7.6326002587322125E-2</v>
      </c>
      <c r="J16" s="48">
        <f t="shared" si="6"/>
        <v>0.72340425531914898</v>
      </c>
      <c r="K16" s="69">
        <f>(J16-F16)*100</f>
        <v>57.021276595744688</v>
      </c>
      <c r="L16" s="13"/>
      <c r="M16" s="47">
        <f>-M8/M6</f>
        <v>0.15319148936170213</v>
      </c>
      <c r="N16" s="47">
        <f>-N8/N6</f>
        <v>3.9325842696629212E-2</v>
      </c>
      <c r="O16" s="47">
        <f>-O8/O6</f>
        <v>7.7777777777777779E-2</v>
      </c>
      <c r="P16" s="47">
        <f>-P8/P6</f>
        <v>1.1111111111111112E-2</v>
      </c>
      <c r="Q16" s="48">
        <f>-Q8/Q6</f>
        <v>0.72340425531914898</v>
      </c>
    </row>
    <row r="17" spans="4:17" s="10" customFormat="1" ht="15" thickBot="1" x14ac:dyDescent="0.3">
      <c r="D17" s="40" t="s">
        <v>36</v>
      </c>
      <c r="E17" s="49">
        <f t="shared" ref="E17:J17" si="7">-(E7+E8)/E6</f>
        <v>0.66948356807511733</v>
      </c>
      <c r="F17" s="49">
        <f t="shared" si="7"/>
        <v>0.55744680851063833</v>
      </c>
      <c r="G17" s="49">
        <f t="shared" si="7"/>
        <v>0.57627118644067798</v>
      </c>
      <c r="H17" s="49">
        <f t="shared" si="7"/>
        <v>0.6104553119730185</v>
      </c>
      <c r="I17" s="49">
        <f t="shared" si="7"/>
        <v>0.69210866752910738</v>
      </c>
      <c r="J17" s="50">
        <f t="shared" si="7"/>
        <v>1.3138297872340425</v>
      </c>
      <c r="K17" s="89">
        <f>(J17-F17)*100</f>
        <v>75.638297872340416</v>
      </c>
      <c r="L17" s="13"/>
      <c r="M17" s="49">
        <f>-(M7+M8)/M6</f>
        <v>0.55744680851063833</v>
      </c>
      <c r="N17" s="49">
        <f>-(N7+N8)/N6</f>
        <v>0.601123595505618</v>
      </c>
      <c r="O17" s="49">
        <f>-(O7+O8)/O6</f>
        <v>0.68888888888888888</v>
      </c>
      <c r="P17" s="49">
        <f>-(P7+P8)/P6</f>
        <v>0.96111111111111114</v>
      </c>
      <c r="Q17" s="50">
        <f>-(Q7+Q8)/Q6</f>
        <v>1.3138297872340425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Balance - NIIF 4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Conciliación resultado NIIF17&amp;9</vt:lpstr>
      <vt:lpstr>Ratio Combinado</vt:lpstr>
      <vt:lpstr>Inversiones</vt:lpstr>
      <vt:lpstr>Solvencia</vt:lpstr>
      <vt:lpstr>'Balance - NIIF 17&amp;9'!Área_de_impresión</vt:lpstr>
      <vt:lpstr>'Balance - NIIF 4'!Área_de_impresión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2024-04-25T10:23:13Z</dcterms:modified>
</cp:coreProperties>
</file>