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3\9M 2023\3. Suplemento Financiero\Sin vinculos para la página web\"/>
    </mc:Choice>
  </mc:AlternateContent>
  <xr:revisionPtr revIDLastSave="0" documentId="13_ncr:1_{4F5032A1-C37C-4CB2-BA71-BDA251767CA8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Balance sheet - IFRS 17&amp;9" sheetId="26" r:id="rId9"/>
    <sheet name="P&amp;L - IFRS 17&amp;9" sheetId="27" r:id="rId10"/>
    <sheet name="Investments" sheetId="19" r:id="rId11"/>
    <sheet name="Solvency" sheetId="23" r:id="rId12"/>
  </sheets>
  <definedNames>
    <definedName name="_IsComposite">#REF!</definedName>
    <definedName name="_TS_">#REF!</definedName>
    <definedName name="_xlnm.Print_Area" localSheetId="1">'Balance sheet'!$B$1:$H$37</definedName>
    <definedName name="_xlnm.Print_Area" localSheetId="8">'Balance sheet - IFRS 17&amp;9'!$B$1:$D$38</definedName>
    <definedName name="_xlnm.Print_Area" localSheetId="4">Motor!$B$1:$AC$18</definedName>
    <definedName name="_xlnm.Print_Area" localSheetId="7">Other!$B$1:$AC$19</definedName>
    <definedName name="_xlnm.Print_Area" localSheetId="2">'P&amp;L'!$B$1:$AB$26</definedName>
    <definedName name="_xlnm.Print_Area" localSheetId="9">'P&amp;L - IFRS 17&amp;9'!$B$1:$I$3</definedName>
    <definedName name="numeroescenarios">#REF!</definedName>
    <definedName name="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9" l="1"/>
  <c r="J7" i="27"/>
  <c r="J9" i="27" s="1"/>
  <c r="J12" i="27" s="1"/>
  <c r="J14" i="27" s="1"/>
  <c r="G7" i="27"/>
  <c r="G9" i="27" s="1"/>
  <c r="G12" i="27" s="1"/>
  <c r="G14" i="27" s="1"/>
  <c r="E28" i="26"/>
  <c r="F28" i="26"/>
  <c r="E25" i="26"/>
  <c r="E29" i="26" s="1"/>
  <c r="U10" i="21"/>
  <c r="U10" i="20"/>
  <c r="U19" i="13"/>
  <c r="E12" i="26" l="1"/>
  <c r="F12" i="26"/>
  <c r="F25" i="26"/>
  <c r="F29" i="26" s="1"/>
  <c r="J13" i="19"/>
  <c r="J36" i="19"/>
  <c r="U10" i="14"/>
  <c r="U10" i="13"/>
  <c r="V10" i="13" s="1"/>
  <c r="U11" i="22"/>
  <c r="J9" i="23"/>
  <c r="AI17" i="25"/>
  <c r="AI12" i="25"/>
  <c r="AI9" i="25"/>
  <c r="AI8" i="25"/>
  <c r="AI5" i="25"/>
  <c r="AI15" i="25"/>
  <c r="AI11" i="25"/>
  <c r="AI7" i="25"/>
  <c r="V19" i="13"/>
  <c r="V28" i="13"/>
  <c r="V27" i="13"/>
  <c r="V26" i="13"/>
  <c r="V25" i="13"/>
  <c r="V24" i="13"/>
  <c r="V18" i="13"/>
  <c r="V17" i="13"/>
  <c r="V16" i="13"/>
  <c r="V15" i="13"/>
  <c r="V9" i="13"/>
  <c r="V8" i="13"/>
  <c r="V7" i="13"/>
  <c r="V6" i="13"/>
  <c r="AJ9" i="14"/>
  <c r="AJ8" i="14"/>
  <c r="AJ7" i="14"/>
  <c r="AJ6" i="14"/>
  <c r="AJ10" i="14" s="1"/>
  <c r="AJ5" i="14"/>
  <c r="V18" i="14"/>
  <c r="V10" i="14"/>
  <c r="V9" i="14"/>
  <c r="V8" i="14"/>
  <c r="V7" i="14"/>
  <c r="V6" i="14"/>
  <c r="V5" i="14"/>
  <c r="U18" i="14"/>
  <c r="U17" i="14"/>
  <c r="V17" i="14" s="1"/>
  <c r="U16" i="14"/>
  <c r="V16" i="14" s="1"/>
  <c r="AJ9" i="20"/>
  <c r="AJ8" i="20"/>
  <c r="AJ7" i="20"/>
  <c r="AJ6" i="20"/>
  <c r="AJ5" i="20"/>
  <c r="V10" i="20"/>
  <c r="U18" i="20"/>
  <c r="V18" i="20" s="1"/>
  <c r="U17" i="20"/>
  <c r="V17" i="20" s="1"/>
  <c r="U16" i="20"/>
  <c r="V16" i="20" s="1"/>
  <c r="V9" i="20"/>
  <c r="V8" i="20"/>
  <c r="V7" i="20"/>
  <c r="V6" i="20"/>
  <c r="V5" i="20"/>
  <c r="AJ16" i="14" l="1"/>
  <c r="AJ17" i="14"/>
  <c r="AJ18" i="20"/>
  <c r="AJ18" i="14"/>
  <c r="U10" i="25"/>
  <c r="AJ17" i="20"/>
  <c r="AJ10" i="20"/>
  <c r="AI6" i="25"/>
  <c r="AI25" i="25" s="1"/>
  <c r="U26" i="25"/>
  <c r="U24" i="25"/>
  <c r="U13" i="25"/>
  <c r="U14" i="25" s="1"/>
  <c r="U16" i="25" s="1"/>
  <c r="U18" i="25" s="1"/>
  <c r="U25" i="25"/>
  <c r="AJ16" i="20"/>
  <c r="AJ9" i="21"/>
  <c r="AJ8" i="21"/>
  <c r="AJ7" i="21"/>
  <c r="AJ6" i="21"/>
  <c r="AJ5" i="21"/>
  <c r="U18" i="21"/>
  <c r="V18" i="21" s="1"/>
  <c r="U17" i="21"/>
  <c r="V17" i="21" s="1"/>
  <c r="U16" i="21"/>
  <c r="V16" i="21" s="1"/>
  <c r="V10" i="21"/>
  <c r="V9" i="21"/>
  <c r="V8" i="21"/>
  <c r="V7" i="21"/>
  <c r="V6" i="21"/>
  <c r="V5" i="21"/>
  <c r="V11" i="22"/>
  <c r="V9" i="22"/>
  <c r="V8" i="22"/>
  <c r="V7" i="22"/>
  <c r="V6" i="22"/>
  <c r="U19" i="22"/>
  <c r="V19" i="22" s="1"/>
  <c r="U18" i="22"/>
  <c r="V18" i="22" s="1"/>
  <c r="U17" i="22"/>
  <c r="V17" i="22" s="1"/>
  <c r="V5" i="22"/>
  <c r="AJ10" i="22"/>
  <c r="AJ9" i="22"/>
  <c r="AJ8" i="22"/>
  <c r="AJ7" i="22"/>
  <c r="AJ6" i="22"/>
  <c r="AJ5" i="22"/>
  <c r="AI24" i="25" l="1"/>
  <c r="AJ10" i="21"/>
  <c r="AI26" i="25"/>
  <c r="AJ18" i="22"/>
  <c r="AJ11" i="22"/>
  <c r="AJ19" i="22"/>
  <c r="AJ16" i="21"/>
  <c r="AJ17" i="21"/>
  <c r="AJ18" i="21"/>
  <c r="AJ17" i="22"/>
  <c r="I7" i="27" l="1"/>
  <c r="H7" i="27"/>
  <c r="H9" i="27" s="1"/>
  <c r="H12" i="27" s="1"/>
  <c r="H14" i="27" s="1"/>
  <c r="E7" i="27"/>
  <c r="E9" i="27" s="1"/>
  <c r="E12" i="27" s="1"/>
  <c r="E14" i="27" s="1"/>
  <c r="S19" i="22"/>
  <c r="R19" i="22"/>
  <c r="S18" i="22"/>
  <c r="R18" i="22"/>
  <c r="S11" i="22"/>
  <c r="R11" i="22"/>
  <c r="AH9" i="21"/>
  <c r="AH8" i="21"/>
  <c r="AH7" i="21"/>
  <c r="AH6" i="21"/>
  <c r="AH10" i="21" s="1"/>
  <c r="AH5" i="21"/>
  <c r="AH10" i="14"/>
  <c r="AH9" i="14"/>
  <c r="AH17" i="14" s="1"/>
  <c r="AH8" i="14"/>
  <c r="AH7" i="14"/>
  <c r="AH18" i="14" s="1"/>
  <c r="AH6" i="14"/>
  <c r="AH5" i="14"/>
  <c r="P10" i="14"/>
  <c r="P10" i="13"/>
  <c r="P19" i="13"/>
  <c r="S14" i="25"/>
  <c r="S16" i="25" s="1"/>
  <c r="S18" i="25" s="1"/>
  <c r="S13" i="25"/>
  <c r="S10" i="25"/>
  <c r="AH16" i="14" l="1"/>
  <c r="F7" i="27"/>
  <c r="F9" i="27" s="1"/>
  <c r="F12" i="27" s="1"/>
  <c r="F14" i="27" s="1"/>
  <c r="T11" i="22"/>
  <c r="I9" i="27"/>
  <c r="I12" i="27" s="1"/>
  <c r="I14" i="27" s="1"/>
  <c r="T10" i="21"/>
  <c r="T18" i="22"/>
  <c r="T19" i="22"/>
  <c r="J26" i="23"/>
  <c r="J25" i="23"/>
  <c r="J20" i="23"/>
  <c r="K51" i="19"/>
  <c r="K30" i="19"/>
  <c r="J6" i="19"/>
  <c r="AI6" i="22"/>
  <c r="AI7" i="22"/>
  <c r="AI8" i="22"/>
  <c r="AI9" i="22"/>
  <c r="AI10" i="22"/>
  <c r="AI5" i="22"/>
  <c r="T17" i="22"/>
  <c r="AH18" i="21"/>
  <c r="AH17" i="21"/>
  <c r="AH16" i="21"/>
  <c r="AI6" i="21"/>
  <c r="AI7" i="21"/>
  <c r="AI8" i="21"/>
  <c r="AI9" i="21"/>
  <c r="AI5" i="21"/>
  <c r="T18" i="21"/>
  <c r="T17" i="21"/>
  <c r="T16" i="21"/>
  <c r="AI6" i="20"/>
  <c r="AI7" i="20"/>
  <c r="AI8" i="20"/>
  <c r="AI9" i="20"/>
  <c r="AI5" i="20"/>
  <c r="T18" i="20"/>
  <c r="T17" i="20"/>
  <c r="T16" i="20"/>
  <c r="T10" i="20"/>
  <c r="AI6" i="14"/>
  <c r="AI7" i="14"/>
  <c r="AI8" i="14"/>
  <c r="AI9" i="14"/>
  <c r="AI5" i="14"/>
  <c r="T18" i="14"/>
  <c r="T17" i="14"/>
  <c r="T16" i="14"/>
  <c r="T10" i="14"/>
  <c r="T19" i="13"/>
  <c r="T10" i="13"/>
  <c r="AH6" i="25"/>
  <c r="AH7" i="25"/>
  <c r="AH8" i="25"/>
  <c r="AH9" i="25"/>
  <c r="AH11" i="25"/>
  <c r="AH12" i="25"/>
  <c r="AH15" i="25"/>
  <c r="AH17" i="25"/>
  <c r="AH5" i="25"/>
  <c r="T26" i="25"/>
  <c r="T25" i="25"/>
  <c r="T24" i="25"/>
  <c r="T13" i="25"/>
  <c r="T10" i="25"/>
  <c r="J34" i="24"/>
  <c r="J25" i="24"/>
  <c r="J31" i="24" s="1"/>
  <c r="J12" i="24"/>
  <c r="J6" i="24"/>
  <c r="AH9" i="22"/>
  <c r="AH7" i="22"/>
  <c r="AH5" i="22"/>
  <c r="S17" i="22"/>
  <c r="AH10" i="22"/>
  <c r="S17" i="21"/>
  <c r="S18" i="21"/>
  <c r="S10" i="21"/>
  <c r="AH9" i="20"/>
  <c r="AH8" i="20"/>
  <c r="AH17" i="20" s="1"/>
  <c r="AH5" i="20"/>
  <c r="S17" i="20"/>
  <c r="AH7" i="20"/>
  <c r="AH6" i="20"/>
  <c r="S18" i="14"/>
  <c r="S19" i="13"/>
  <c r="S10" i="13"/>
  <c r="AG12" i="25"/>
  <c r="AG8" i="25"/>
  <c r="AG17" i="25"/>
  <c r="AG15" i="25"/>
  <c r="AG13" i="25"/>
  <c r="AG6" i="25"/>
  <c r="AG5" i="25"/>
  <c r="AH13" i="25" l="1"/>
  <c r="AI13" i="25"/>
  <c r="AH10" i="25"/>
  <c r="AI10" i="25"/>
  <c r="K33" i="19"/>
  <c r="J5" i="19"/>
  <c r="J22" i="19" s="1"/>
  <c r="J24" i="19" s="1"/>
  <c r="J17" i="24"/>
  <c r="AI11" i="22"/>
  <c r="AI18" i="21"/>
  <c r="AI10" i="21"/>
  <c r="AI17" i="21"/>
  <c r="AI10" i="20"/>
  <c r="AI17" i="20"/>
  <c r="AI18" i="20"/>
  <c r="AI18" i="14"/>
  <c r="AI10" i="14"/>
  <c r="AI16" i="14"/>
  <c r="AI17" i="14"/>
  <c r="AH25" i="25"/>
  <c r="T14" i="25"/>
  <c r="AH26" i="25"/>
  <c r="J35" i="24"/>
  <c r="K46" i="19"/>
  <c r="K45" i="19"/>
  <c r="K32" i="19"/>
  <c r="K31" i="19"/>
  <c r="K44" i="19"/>
  <c r="K52" i="19"/>
  <c r="K34" i="19"/>
  <c r="K47" i="19"/>
  <c r="K35" i="19"/>
  <c r="K48" i="19"/>
  <c r="K49" i="19"/>
  <c r="K42" i="19"/>
  <c r="K50" i="19"/>
  <c r="K43" i="19"/>
  <c r="AI19" i="22"/>
  <c r="AI17" i="22"/>
  <c r="AI18" i="22"/>
  <c r="AI16" i="21"/>
  <c r="AI16" i="20"/>
  <c r="AH24" i="25"/>
  <c r="S25" i="25"/>
  <c r="AG9" i="25"/>
  <c r="AG25" i="25" s="1"/>
  <c r="AH18" i="20"/>
  <c r="AH16" i="20"/>
  <c r="AH10" i="20"/>
  <c r="S10" i="20"/>
  <c r="S16" i="21"/>
  <c r="AH8" i="22"/>
  <c r="AH18" i="22" s="1"/>
  <c r="S26" i="25"/>
  <c r="S10" i="14"/>
  <c r="S17" i="14"/>
  <c r="AG7" i="25"/>
  <c r="AG11" i="25"/>
  <c r="S16" i="20"/>
  <c r="S18" i="20"/>
  <c r="AH6" i="22"/>
  <c r="AH11" i="22" s="1"/>
  <c r="S16" i="14"/>
  <c r="AG10" i="25"/>
  <c r="S24" i="25"/>
  <c r="AH14" i="25" l="1"/>
  <c r="AI14" i="25"/>
  <c r="K53" i="19"/>
  <c r="K36" i="19"/>
  <c r="T16" i="25"/>
  <c r="K14" i="19"/>
  <c r="K6" i="19"/>
  <c r="K8" i="19"/>
  <c r="K21" i="19"/>
  <c r="K13" i="19"/>
  <c r="K20" i="19"/>
  <c r="K12" i="19"/>
  <c r="K9" i="19"/>
  <c r="K19" i="19"/>
  <c r="K11" i="19"/>
  <c r="K17" i="19"/>
  <c r="K18" i="19"/>
  <c r="K10" i="19"/>
  <c r="K15" i="19"/>
  <c r="K7" i="19"/>
  <c r="K16" i="19"/>
  <c r="K5" i="19"/>
  <c r="AG14" i="25"/>
  <c r="AG24" i="25"/>
  <c r="AG26" i="25"/>
  <c r="AH17" i="22"/>
  <c r="AH19" i="22"/>
  <c r="T18" i="25" l="1"/>
  <c r="AI16" i="25"/>
  <c r="AH16" i="25"/>
  <c r="K22" i="19"/>
  <c r="AG18" i="25"/>
  <c r="AG16" i="25"/>
  <c r="AH18" i="25" l="1"/>
  <c r="AI18" i="25"/>
  <c r="I26" i="23"/>
  <c r="I25" i="23"/>
  <c r="I20" i="23"/>
  <c r="I9" i="23"/>
  <c r="I53" i="19"/>
  <c r="I36" i="19"/>
  <c r="I13" i="19"/>
  <c r="I6" i="19"/>
  <c r="AG10" i="22"/>
  <c r="AG9" i="22"/>
  <c r="AG8" i="22"/>
  <c r="AG7" i="22"/>
  <c r="AG6" i="22"/>
  <c r="AG5" i="22"/>
  <c r="R17" i="22"/>
  <c r="AG9" i="21"/>
  <c r="AG8" i="21"/>
  <c r="AG7" i="21"/>
  <c r="AG6" i="21"/>
  <c r="AG5" i="21"/>
  <c r="AG9" i="20"/>
  <c r="AG8" i="20"/>
  <c r="AG7" i="20"/>
  <c r="AG6" i="20"/>
  <c r="AG5" i="20"/>
  <c r="AG9" i="14"/>
  <c r="AG8" i="14"/>
  <c r="AG7" i="14"/>
  <c r="AG6" i="14"/>
  <c r="AG5" i="14"/>
  <c r="AF17" i="25"/>
  <c r="AF15" i="25"/>
  <c r="AF12" i="25"/>
  <c r="AF11" i="25"/>
  <c r="AF9" i="25"/>
  <c r="AF8" i="25"/>
  <c r="AF7" i="25"/>
  <c r="AF6" i="25"/>
  <c r="AF5" i="25"/>
  <c r="R18" i="20"/>
  <c r="R17" i="20"/>
  <c r="R16" i="20"/>
  <c r="R18" i="21"/>
  <c r="R17" i="21"/>
  <c r="R16" i="21"/>
  <c r="R18" i="14"/>
  <c r="R17" i="14"/>
  <c r="R16" i="14"/>
  <c r="R10" i="20"/>
  <c r="R10" i="21"/>
  <c r="R10" i="14"/>
  <c r="R19" i="13"/>
  <c r="R10" i="13"/>
  <c r="R26" i="25"/>
  <c r="R25" i="25"/>
  <c r="R24" i="25"/>
  <c r="R13" i="25"/>
  <c r="R10" i="25"/>
  <c r="I34" i="24"/>
  <c r="I25" i="24"/>
  <c r="I31" i="24" s="1"/>
  <c r="I12" i="24"/>
  <c r="I6" i="24"/>
  <c r="P26" i="25"/>
  <c r="P25" i="25"/>
  <c r="P24" i="25"/>
  <c r="P10" i="21"/>
  <c r="P10" i="20"/>
  <c r="O10" i="13"/>
  <c r="O19" i="13"/>
  <c r="AF10" i="22"/>
  <c r="AE10" i="22"/>
  <c r="AE9" i="22"/>
  <c r="AE8" i="22"/>
  <c r="AE7" i="22"/>
  <c r="AE6" i="22"/>
  <c r="AE5" i="22"/>
  <c r="P17" i="22"/>
  <c r="P18" i="22"/>
  <c r="P19" i="22"/>
  <c r="AF9" i="22"/>
  <c r="AF8" i="22"/>
  <c r="AF7" i="22"/>
  <c r="AF6" i="22"/>
  <c r="AF5" i="22"/>
  <c r="P11" i="22"/>
  <c r="AE9" i="21"/>
  <c r="AE8" i="21"/>
  <c r="AE7" i="21"/>
  <c r="AE6" i="21"/>
  <c r="AE5" i="21"/>
  <c r="P16" i="21"/>
  <c r="P17" i="21"/>
  <c r="P18" i="21"/>
  <c r="AF9" i="21"/>
  <c r="AF8" i="21"/>
  <c r="AF7" i="21"/>
  <c r="AF6" i="21"/>
  <c r="AF5" i="21"/>
  <c r="P16" i="20"/>
  <c r="P17" i="20"/>
  <c r="P18" i="20"/>
  <c r="AE6" i="20"/>
  <c r="AE5" i="20"/>
  <c r="AE9" i="20"/>
  <c r="AE8" i="20"/>
  <c r="AE7" i="20"/>
  <c r="AF9" i="20"/>
  <c r="AF8" i="20"/>
  <c r="AF7" i="20"/>
  <c r="AF6" i="20"/>
  <c r="AF5" i="20"/>
  <c r="AF9" i="14"/>
  <c r="AE5" i="14"/>
  <c r="AE9" i="14"/>
  <c r="AE8" i="14"/>
  <c r="AE7" i="14"/>
  <c r="AE6" i="14"/>
  <c r="P18" i="14"/>
  <c r="P17" i="14"/>
  <c r="P16" i="14"/>
  <c r="AF8" i="14"/>
  <c r="AF7" i="14"/>
  <c r="AF6" i="14"/>
  <c r="AF5" i="14"/>
  <c r="I17" i="24" l="1"/>
  <c r="AE16" i="20"/>
  <c r="AE10" i="20"/>
  <c r="I5" i="19"/>
  <c r="I22" i="19" s="1"/>
  <c r="I24" i="19" s="1"/>
  <c r="R14" i="25"/>
  <c r="AE17" i="14"/>
  <c r="I35" i="24"/>
  <c r="AF19" i="22"/>
  <c r="AE17" i="21"/>
  <c r="AE16" i="14"/>
  <c r="AE16" i="21"/>
  <c r="AG10" i="14"/>
  <c r="AF26" i="25"/>
  <c r="AG18" i="22"/>
  <c r="AG19" i="22"/>
  <c r="AG18" i="21"/>
  <c r="AG10" i="21"/>
  <c r="AG17" i="21"/>
  <c r="AG16" i="21"/>
  <c r="AG17" i="20"/>
  <c r="AG18" i="20"/>
  <c r="AG17" i="14"/>
  <c r="AG18" i="14"/>
  <c r="AF25" i="25"/>
  <c r="AG11" i="22"/>
  <c r="AE11" i="22"/>
  <c r="AG17" i="22"/>
  <c r="AE18" i="21"/>
  <c r="AE10" i="21"/>
  <c r="AG10" i="20"/>
  <c r="AG16" i="20"/>
  <c r="AE17" i="20"/>
  <c r="AG16" i="14"/>
  <c r="AE10" i="14"/>
  <c r="AE18" i="14"/>
  <c r="AF10" i="20"/>
  <c r="AE17" i="22"/>
  <c r="AE18" i="22"/>
  <c r="AE18" i="20"/>
  <c r="AF10" i="21"/>
  <c r="Q16" i="21"/>
  <c r="AF11" i="22"/>
  <c r="AE19" i="22"/>
  <c r="AF10" i="14"/>
  <c r="AD5" i="25"/>
  <c r="AD17" i="25"/>
  <c r="AD15" i="25"/>
  <c r="AD12" i="25"/>
  <c r="AD11" i="25"/>
  <c r="AD9" i="25"/>
  <c r="AD8" i="25"/>
  <c r="AD7" i="25"/>
  <c r="AD6" i="25"/>
  <c r="AE17" i="25"/>
  <c r="AE15" i="25"/>
  <c r="AE12" i="25"/>
  <c r="AE11" i="25"/>
  <c r="AE9" i="25"/>
  <c r="AE8" i="25"/>
  <c r="AE6" i="25"/>
  <c r="AE5" i="25"/>
  <c r="AD25" i="25" l="1"/>
  <c r="R16" i="25"/>
  <c r="AF24" i="25"/>
  <c r="AD24" i="25"/>
  <c r="AD26" i="25"/>
  <c r="AE25" i="25"/>
  <c r="AE7" i="25"/>
  <c r="Q24" i="25"/>
  <c r="R18" i="25" l="1"/>
  <c r="AD10" i="22"/>
  <c r="AD9" i="22"/>
  <c r="AD8" i="22"/>
  <c r="AD7" i="22"/>
  <c r="AD6" i="22"/>
  <c r="AD5" i="22"/>
  <c r="O19" i="22"/>
  <c r="O18" i="22"/>
  <c r="O17" i="22"/>
  <c r="O11" i="22"/>
  <c r="AD9" i="14"/>
  <c r="AD8" i="14"/>
  <c r="AD7" i="14"/>
  <c r="AD6" i="14"/>
  <c r="AD5" i="14"/>
  <c r="O18" i="21"/>
  <c r="O17" i="21"/>
  <c r="O16" i="21"/>
  <c r="O10" i="21"/>
  <c r="O18" i="20"/>
  <c r="O17" i="20"/>
  <c r="O16" i="20"/>
  <c r="O10" i="20"/>
  <c r="AD9" i="21"/>
  <c r="AD8" i="21"/>
  <c r="AD7" i="21"/>
  <c r="AD6" i="21"/>
  <c r="AD5" i="21"/>
  <c r="AD9" i="20"/>
  <c r="AD8" i="20"/>
  <c r="AD7" i="20"/>
  <c r="AD6" i="20"/>
  <c r="AD5" i="20"/>
  <c r="O18" i="14"/>
  <c r="O17" i="14"/>
  <c r="O16" i="14"/>
  <c r="O10" i="14"/>
  <c r="AC17" i="25"/>
  <c r="AC15" i="25"/>
  <c r="AC12" i="25"/>
  <c r="AC11" i="25"/>
  <c r="AC9" i="25"/>
  <c r="AC8" i="25"/>
  <c r="AC7" i="25"/>
  <c r="AC6" i="25"/>
  <c r="AC5" i="25"/>
  <c r="O26" i="25"/>
  <c r="O25" i="25"/>
  <c r="O24" i="25"/>
  <c r="O13" i="25"/>
  <c r="AD13" i="25" s="1"/>
  <c r="O10" i="25"/>
  <c r="AD10" i="25" s="1"/>
  <c r="AD18" i="14" l="1"/>
  <c r="AD10" i="14"/>
  <c r="AD16" i="14"/>
  <c r="AD17" i="14"/>
  <c r="AD10" i="21"/>
  <c r="AC26" i="25"/>
  <c r="AC25" i="25"/>
  <c r="AC24" i="25"/>
  <c r="AC10" i="25"/>
  <c r="AC13" i="25"/>
  <c r="O14" i="25"/>
  <c r="AD16" i="20"/>
  <c r="AD19" i="22"/>
  <c r="AD18" i="22"/>
  <c r="AD11" i="22"/>
  <c r="AD17" i="22"/>
  <c r="AD18" i="21"/>
  <c r="AD17" i="21"/>
  <c r="AD17" i="20"/>
  <c r="AD10" i="20"/>
  <c r="AD18" i="20"/>
  <c r="AD16" i="21"/>
  <c r="O16" i="25" l="1"/>
  <c r="AD14" i="25"/>
  <c r="AC14" i="25"/>
  <c r="K13" i="25"/>
  <c r="Y13" i="25" s="1"/>
  <c r="K10" i="25"/>
  <c r="Q13" i="25"/>
  <c r="AF13" i="25" s="1"/>
  <c r="Q10" i="25"/>
  <c r="AF10" i="25" s="1"/>
  <c r="H53" i="19"/>
  <c r="H36" i="19"/>
  <c r="H13" i="19"/>
  <c r="H6" i="19"/>
  <c r="Q19" i="22"/>
  <c r="Q18" i="22"/>
  <c r="Q17" i="22"/>
  <c r="Q11" i="22"/>
  <c r="Q10" i="21"/>
  <c r="Q18" i="21"/>
  <c r="Q17" i="21"/>
  <c r="Q10" i="20"/>
  <c r="Q18" i="20"/>
  <c r="Q17" i="20"/>
  <c r="Q16" i="20"/>
  <c r="Q10" i="14"/>
  <c r="Q18" i="14"/>
  <c r="Q17" i="14"/>
  <c r="Q16" i="14"/>
  <c r="Q19" i="13"/>
  <c r="Q10" i="13"/>
  <c r="Q26" i="25"/>
  <c r="Q25" i="25"/>
  <c r="AA10" i="22"/>
  <c r="Z10" i="22"/>
  <c r="AA9" i="22"/>
  <c r="Z9" i="22"/>
  <c r="AA8" i="22"/>
  <c r="Z8" i="22"/>
  <c r="AA7" i="22"/>
  <c r="Z7" i="22"/>
  <c r="AA6" i="22"/>
  <c r="Z6" i="22"/>
  <c r="AA5" i="22"/>
  <c r="Z5" i="22"/>
  <c r="K19" i="22"/>
  <c r="K18" i="22"/>
  <c r="K17" i="22"/>
  <c r="K11" i="22"/>
  <c r="K18" i="21"/>
  <c r="K17" i="21"/>
  <c r="K16" i="21"/>
  <c r="K10" i="21"/>
  <c r="AA9" i="21"/>
  <c r="Z9" i="21"/>
  <c r="AA8" i="21"/>
  <c r="Z8" i="21"/>
  <c r="AA7" i="21"/>
  <c r="Z7" i="21"/>
  <c r="AA6" i="21"/>
  <c r="Z6" i="21"/>
  <c r="AA5" i="21"/>
  <c r="Z5" i="21"/>
  <c r="AA9" i="20"/>
  <c r="Z9" i="20"/>
  <c r="AA8" i="20"/>
  <c r="Z8" i="20"/>
  <c r="AA7" i="20"/>
  <c r="Z7" i="20"/>
  <c r="AA6" i="20"/>
  <c r="Z6" i="20"/>
  <c r="AA5" i="20"/>
  <c r="Z5" i="20"/>
  <c r="K18" i="20"/>
  <c r="K17" i="20"/>
  <c r="K16" i="20"/>
  <c r="K10" i="20"/>
  <c r="AA9" i="14"/>
  <c r="Z9" i="14"/>
  <c r="AA8" i="14"/>
  <c r="Z8" i="14"/>
  <c r="AA7" i="14"/>
  <c r="Z7" i="14"/>
  <c r="AA6" i="14"/>
  <c r="Z6" i="14"/>
  <c r="AA5" i="14"/>
  <c r="Z5" i="14"/>
  <c r="K18" i="14"/>
  <c r="K17" i="14"/>
  <c r="K16" i="14"/>
  <c r="K10" i="14"/>
  <c r="L19" i="13"/>
  <c r="K19" i="13"/>
  <c r="K10" i="13"/>
  <c r="Z17" i="25"/>
  <c r="Y17" i="25"/>
  <c r="Z15" i="25"/>
  <c r="Y15" i="25"/>
  <c r="Z12" i="25"/>
  <c r="Y12" i="25"/>
  <c r="Z11" i="25"/>
  <c r="Y11" i="25"/>
  <c r="Z9" i="25"/>
  <c r="Y9" i="25"/>
  <c r="Z8" i="25"/>
  <c r="Y8" i="25"/>
  <c r="Z7" i="25"/>
  <c r="Y7" i="25"/>
  <c r="Z6" i="25"/>
  <c r="Y6" i="25"/>
  <c r="Z5" i="25"/>
  <c r="Y5" i="25"/>
  <c r="K26" i="25"/>
  <c r="K25" i="25"/>
  <c r="K24" i="25"/>
  <c r="H9" i="23"/>
  <c r="N11" i="22"/>
  <c r="N10" i="21"/>
  <c r="N10" i="20"/>
  <c r="N10" i="14"/>
  <c r="N19" i="13"/>
  <c r="N10" i="13"/>
  <c r="N13" i="25"/>
  <c r="N10" i="25"/>
  <c r="H34" i="24"/>
  <c r="H25" i="24"/>
  <c r="H31" i="24" s="1"/>
  <c r="H12" i="24"/>
  <c r="H6" i="24"/>
  <c r="AC10" i="22"/>
  <c r="Y10" i="22"/>
  <c r="N19" i="22"/>
  <c r="AC9" i="21"/>
  <c r="AC8" i="21"/>
  <c r="AC7" i="21"/>
  <c r="AC6" i="21"/>
  <c r="AC5" i="21"/>
  <c r="AC9" i="22"/>
  <c r="AC8" i="22"/>
  <c r="AC7" i="22"/>
  <c r="AC6" i="22"/>
  <c r="AC5" i="22"/>
  <c r="AC9" i="20"/>
  <c r="AC8" i="20"/>
  <c r="AC7" i="20"/>
  <c r="AC6" i="20"/>
  <c r="AC5" i="20"/>
  <c r="Y9" i="21"/>
  <c r="Y8" i="21"/>
  <c r="Y7" i="21"/>
  <c r="Y6" i="21"/>
  <c r="Y9" i="22"/>
  <c r="Y8" i="22"/>
  <c r="Y7" i="22"/>
  <c r="Y6" i="22"/>
  <c r="Y9" i="20"/>
  <c r="Y8" i="20"/>
  <c r="Y7" i="20"/>
  <c r="Y6" i="20"/>
  <c r="Y5" i="21"/>
  <c r="Y5" i="22"/>
  <c r="Y5" i="20"/>
  <c r="N18" i="21"/>
  <c r="N17" i="21"/>
  <c r="N16" i="21"/>
  <c r="N18" i="22"/>
  <c r="N17" i="22"/>
  <c r="N18" i="20"/>
  <c r="N17" i="20"/>
  <c r="N16" i="20"/>
  <c r="AC9" i="14"/>
  <c r="AC8" i="14"/>
  <c r="AC7" i="14"/>
  <c r="AC6" i="14"/>
  <c r="Y9" i="14"/>
  <c r="Y8" i="14"/>
  <c r="Y7" i="14"/>
  <c r="Y6" i="14"/>
  <c r="AC5" i="14"/>
  <c r="Y5" i="14"/>
  <c r="N18" i="14"/>
  <c r="N17" i="14"/>
  <c r="N16" i="14"/>
  <c r="AB17" i="25"/>
  <c r="AB15" i="25"/>
  <c r="AB12" i="25"/>
  <c r="AB11" i="25"/>
  <c r="AB9" i="25"/>
  <c r="AB8" i="25"/>
  <c r="AB7" i="25"/>
  <c r="AB6" i="25"/>
  <c r="AB5" i="25"/>
  <c r="X17" i="25"/>
  <c r="X15" i="25"/>
  <c r="X12" i="25"/>
  <c r="X11" i="25"/>
  <c r="X9" i="25"/>
  <c r="X8" i="25"/>
  <c r="X7" i="25"/>
  <c r="X6" i="25"/>
  <c r="X5" i="25"/>
  <c r="N26" i="25"/>
  <c r="N25" i="25"/>
  <c r="N24" i="25"/>
  <c r="H17" i="24" l="1"/>
  <c r="AC10" i="14"/>
  <c r="H5" i="19"/>
  <c r="H22" i="19" s="1"/>
  <c r="H24" i="19" s="1"/>
  <c r="Z24" i="25"/>
  <c r="Z25" i="25"/>
  <c r="AE13" i="25"/>
  <c r="O18" i="25"/>
  <c r="AD16" i="25"/>
  <c r="AC16" i="25"/>
  <c r="AE10" i="25"/>
  <c r="AA10" i="21"/>
  <c r="AF18" i="22"/>
  <c r="AF17" i="22"/>
  <c r="AF16" i="14"/>
  <c r="AF17" i="20"/>
  <c r="AF16" i="21"/>
  <c r="AF18" i="21"/>
  <c r="AF18" i="20"/>
  <c r="Z18" i="14"/>
  <c r="Z16" i="14"/>
  <c r="Q14" i="25"/>
  <c r="AF14" i="25" s="1"/>
  <c r="AE26" i="25"/>
  <c r="AA11" i="22"/>
  <c r="AF16" i="20"/>
  <c r="AF18" i="14"/>
  <c r="AA16" i="14"/>
  <c r="K14" i="25"/>
  <c r="K16" i="25" s="1"/>
  <c r="K18" i="25" s="1"/>
  <c r="Y18" i="25" s="1"/>
  <c r="AE24" i="25"/>
  <c r="AF17" i="21"/>
  <c r="AF17" i="14"/>
  <c r="AA18" i="14"/>
  <c r="Y10" i="14"/>
  <c r="AA10" i="20"/>
  <c r="Z10" i="20"/>
  <c r="Z11" i="22"/>
  <c r="AA18" i="22"/>
  <c r="Y10" i="25"/>
  <c r="AB25" i="25"/>
  <c r="H35" i="24"/>
  <c r="Z18" i="22"/>
  <c r="Z19" i="22"/>
  <c r="AA19" i="22"/>
  <c r="AA17" i="21"/>
  <c r="Z16" i="20"/>
  <c r="AA18" i="20"/>
  <c r="Z17" i="20"/>
  <c r="AA17" i="20"/>
  <c r="Z17" i="14"/>
  <c r="AA17" i="14"/>
  <c r="Z26" i="25"/>
  <c r="Y24" i="25"/>
  <c r="Y25" i="25"/>
  <c r="Y26" i="25"/>
  <c r="Z17" i="22"/>
  <c r="AA17" i="22"/>
  <c r="Z10" i="21"/>
  <c r="Z18" i="21"/>
  <c r="AA18" i="21"/>
  <c r="Z17" i="21"/>
  <c r="Z16" i="21"/>
  <c r="AA16" i="21"/>
  <c r="AA16" i="20"/>
  <c r="Z18" i="20"/>
  <c r="Z10" i="14"/>
  <c r="AA10" i="14"/>
  <c r="AC17" i="22"/>
  <c r="AC10" i="21"/>
  <c r="Y16" i="21"/>
  <c r="Y10" i="20"/>
  <c r="AC18" i="21"/>
  <c r="AC17" i="21"/>
  <c r="Y10" i="21"/>
  <c r="AC10" i="20"/>
  <c r="Y16" i="20"/>
  <c r="Y18" i="14"/>
  <c r="Y17" i="14"/>
  <c r="X24" i="25"/>
  <c r="N14" i="25"/>
  <c r="N16" i="25" s="1"/>
  <c r="N18" i="25" s="1"/>
  <c r="AC18" i="22"/>
  <c r="AC11" i="22"/>
  <c r="AC16" i="21"/>
  <c r="AC18" i="14"/>
  <c r="Y18" i="20"/>
  <c r="AC17" i="20"/>
  <c r="AC18" i="20"/>
  <c r="Y18" i="21"/>
  <c r="AC19" i="22"/>
  <c r="Y17" i="22"/>
  <c r="Y11" i="22"/>
  <c r="Y19" i="22"/>
  <c r="AC16" i="20"/>
  <c r="Y17" i="21"/>
  <c r="Y17" i="20"/>
  <c r="Y18" i="22"/>
  <c r="AC17" i="14"/>
  <c r="AC16" i="14"/>
  <c r="Y16" i="14"/>
  <c r="AB26" i="25"/>
  <c r="AB24" i="25"/>
  <c r="X26" i="25"/>
  <c r="X25" i="25"/>
  <c r="AB10" i="22"/>
  <c r="X10" i="22"/>
  <c r="AB9" i="22"/>
  <c r="X9" i="22"/>
  <c r="AB8" i="22"/>
  <c r="X8" i="22"/>
  <c r="AB7" i="22"/>
  <c r="X7" i="22"/>
  <c r="AB6" i="22"/>
  <c r="X6" i="22"/>
  <c r="AB5" i="22"/>
  <c r="X5" i="22"/>
  <c r="AB9" i="21"/>
  <c r="X9" i="21"/>
  <c r="AB8" i="21"/>
  <c r="X8" i="21"/>
  <c r="AB7" i="21"/>
  <c r="X7" i="21"/>
  <c r="AB6" i="21"/>
  <c r="X6" i="21"/>
  <c r="AB5" i="21"/>
  <c r="X5" i="21"/>
  <c r="AB9" i="20"/>
  <c r="X9" i="20"/>
  <c r="AB8" i="20"/>
  <c r="X8" i="20"/>
  <c r="AB7" i="20"/>
  <c r="X7" i="20"/>
  <c r="AB6" i="20"/>
  <c r="X6" i="20"/>
  <c r="AB5" i="20"/>
  <c r="X5" i="20"/>
  <c r="AE14" i="25" l="1"/>
  <c r="AD18" i="25"/>
  <c r="AC18" i="25"/>
  <c r="Q16" i="25"/>
  <c r="AF16" i="25" s="1"/>
  <c r="Y16" i="25"/>
  <c r="Y14" i="25"/>
  <c r="X10" i="20"/>
  <c r="X11" i="22"/>
  <c r="AB11" i="22"/>
  <c r="AB10" i="21"/>
  <c r="X10" i="21"/>
  <c r="AB10" i="20"/>
  <c r="AB9" i="14"/>
  <c r="X9" i="14"/>
  <c r="AB8" i="14"/>
  <c r="X8" i="14"/>
  <c r="AB7" i="14"/>
  <c r="X7" i="14"/>
  <c r="AB6" i="14"/>
  <c r="X6" i="14"/>
  <c r="AB5" i="14"/>
  <c r="X5" i="14"/>
  <c r="AB19" i="22"/>
  <c r="X19" i="22"/>
  <c r="AB18" i="22"/>
  <c r="X18" i="22"/>
  <c r="AB17" i="22"/>
  <c r="X17" i="22"/>
  <c r="AB18" i="21"/>
  <c r="X18" i="21"/>
  <c r="AB17" i="21"/>
  <c r="X17" i="21"/>
  <c r="AB16" i="21"/>
  <c r="X16" i="21"/>
  <c r="AB18" i="20"/>
  <c r="X18" i="20"/>
  <c r="AB17" i="20"/>
  <c r="X17" i="20"/>
  <c r="AB16" i="20"/>
  <c r="X16" i="20"/>
  <c r="AE16" i="25" l="1"/>
  <c r="Q18" i="25"/>
  <c r="AF18" i="25" s="1"/>
  <c r="AB16" i="14"/>
  <c r="X16" i="14"/>
  <c r="X18" i="14"/>
  <c r="AB18" i="14"/>
  <c r="X10" i="14"/>
  <c r="AB10" i="14"/>
  <c r="X17" i="14"/>
  <c r="AB17" i="14"/>
  <c r="L11" i="22"/>
  <c r="H11" i="22"/>
  <c r="L19" i="22"/>
  <c r="H19" i="22"/>
  <c r="F18" i="22"/>
  <c r="L18" i="22"/>
  <c r="H18" i="22"/>
  <c r="L17" i="22"/>
  <c r="H17" i="22"/>
  <c r="F10" i="21"/>
  <c r="L10" i="21"/>
  <c r="H10" i="21"/>
  <c r="L18" i="21"/>
  <c r="H18" i="21"/>
  <c r="L17" i="21"/>
  <c r="H17" i="21"/>
  <c r="L16" i="21"/>
  <c r="H16" i="21"/>
  <c r="F18" i="20"/>
  <c r="F17" i="20"/>
  <c r="F16" i="20"/>
  <c r="F10" i="20"/>
  <c r="L18" i="20"/>
  <c r="H18" i="20"/>
  <c r="L17" i="20"/>
  <c r="H17" i="20"/>
  <c r="L16" i="20"/>
  <c r="H16" i="20"/>
  <c r="L10" i="20"/>
  <c r="H10" i="20"/>
  <c r="F17" i="14"/>
  <c r="L18" i="14"/>
  <c r="H18" i="14"/>
  <c r="L17" i="14"/>
  <c r="H17" i="14"/>
  <c r="L16" i="14"/>
  <c r="H16" i="14"/>
  <c r="L10" i="14"/>
  <c r="H10" i="14"/>
  <c r="F19" i="13"/>
  <c r="H19" i="13"/>
  <c r="L10" i="13"/>
  <c r="H10" i="13"/>
  <c r="AA17" i="25"/>
  <c r="AA15" i="25"/>
  <c r="AA12" i="25"/>
  <c r="AA11" i="25"/>
  <c r="AA9" i="25"/>
  <c r="AA8" i="25"/>
  <c r="AA7" i="25"/>
  <c r="AA6" i="25"/>
  <c r="W17" i="25"/>
  <c r="W15" i="25"/>
  <c r="W12" i="25"/>
  <c r="W11" i="25"/>
  <c r="W9" i="25"/>
  <c r="W8" i="25"/>
  <c r="W7" i="25"/>
  <c r="W6" i="25"/>
  <c r="W5" i="25"/>
  <c r="AA5" i="25"/>
  <c r="L13" i="25"/>
  <c r="Z13" i="25" s="1"/>
  <c r="L10" i="25"/>
  <c r="Z10" i="25" s="1"/>
  <c r="H13" i="25"/>
  <c r="H10" i="25"/>
  <c r="F13" i="25"/>
  <c r="F10" i="25"/>
  <c r="L26" i="25"/>
  <c r="L25" i="25"/>
  <c r="L24" i="25"/>
  <c r="H26" i="25"/>
  <c r="H25" i="25"/>
  <c r="H24" i="25"/>
  <c r="F26" i="25"/>
  <c r="F25" i="25"/>
  <c r="F24" i="25"/>
  <c r="AE18" i="25" l="1"/>
  <c r="H14" i="25"/>
  <c r="H16" i="25" s="1"/>
  <c r="H18" i="25" s="1"/>
  <c r="L14" i="25"/>
  <c r="AA24" i="25"/>
  <c r="W26" i="25"/>
  <c r="W25" i="25"/>
  <c r="F11" i="22"/>
  <c r="F17" i="22"/>
  <c r="F19" i="22"/>
  <c r="F17" i="21"/>
  <c r="F16" i="21"/>
  <c r="F18" i="21"/>
  <c r="F18" i="14"/>
  <c r="F16" i="14"/>
  <c r="F10" i="14"/>
  <c r="F10" i="13"/>
  <c r="AA26" i="25"/>
  <c r="W24" i="25"/>
  <c r="AA25" i="25"/>
  <c r="F14" i="25"/>
  <c r="F16" i="25" s="1"/>
  <c r="F18" i="25" s="1"/>
  <c r="L16" i="25" l="1"/>
  <c r="Z14" i="25"/>
  <c r="G6" i="24"/>
  <c r="L18" i="25" l="1"/>
  <c r="Z18" i="25" s="1"/>
  <c r="Z16" i="25"/>
  <c r="H25" i="23"/>
  <c r="H26" i="23"/>
  <c r="H20" i="23" l="1"/>
  <c r="I26" i="25" l="1"/>
  <c r="J26" i="25"/>
  <c r="G26" i="25"/>
  <c r="I25" i="25"/>
  <c r="J25" i="25"/>
  <c r="G25" i="25"/>
  <c r="I24" i="25"/>
  <c r="J24" i="25"/>
  <c r="G24" i="25"/>
  <c r="E26" i="25"/>
  <c r="E25" i="25"/>
  <c r="E24" i="25"/>
  <c r="F26" i="23" l="1"/>
  <c r="E26" i="23"/>
  <c r="F25" i="23"/>
  <c r="E25" i="23"/>
  <c r="G22" i="23"/>
  <c r="G25" i="23" s="1"/>
  <c r="G20" i="23"/>
  <c r="F20" i="23"/>
  <c r="E20" i="23"/>
  <c r="G26" i="23" l="1"/>
  <c r="F34" i="24" l="1"/>
  <c r="E34" i="24"/>
  <c r="G34" i="24"/>
  <c r="I13" i="25"/>
  <c r="W13" i="25" s="1"/>
  <c r="J13" i="25"/>
  <c r="G13" i="25"/>
  <c r="G14" i="25" s="1"/>
  <c r="G16" i="25" s="1"/>
  <c r="G18" i="25" s="1"/>
  <c r="E13" i="25"/>
  <c r="I10" i="25"/>
  <c r="W10" i="25" s="1"/>
  <c r="J10" i="25"/>
  <c r="G10" i="25"/>
  <c r="E10" i="25"/>
  <c r="J14" i="25" l="1"/>
  <c r="X13" i="25"/>
  <c r="X10" i="25"/>
  <c r="I14" i="25"/>
  <c r="E14" i="25"/>
  <c r="E16" i="25" s="1"/>
  <c r="E18" i="25" s="1"/>
  <c r="J16" i="25" l="1"/>
  <c r="X14" i="25"/>
  <c r="I16" i="25"/>
  <c r="W14" i="25"/>
  <c r="G25" i="24"/>
  <c r="G31" i="24" s="1"/>
  <c r="F25" i="24"/>
  <c r="F31" i="24" s="1"/>
  <c r="E25" i="24"/>
  <c r="E31" i="24" s="1"/>
  <c r="G12" i="24"/>
  <c r="F12" i="24"/>
  <c r="E12" i="24"/>
  <c r="F6" i="24"/>
  <c r="E6" i="24"/>
  <c r="J18" i="25" l="1"/>
  <c r="X16" i="25"/>
  <c r="I18" i="25"/>
  <c r="W18" i="25" s="1"/>
  <c r="W16" i="25"/>
  <c r="E17" i="24"/>
  <c r="F17" i="24"/>
  <c r="G17" i="24"/>
  <c r="X18" i="25" l="1"/>
  <c r="G35" i="24"/>
  <c r="F35" i="24"/>
  <c r="E35" i="24"/>
  <c r="F36" i="19" l="1"/>
  <c r="G53" i="19"/>
  <c r="E53" i="19"/>
  <c r="F53" i="19"/>
  <c r="G36" i="19"/>
  <c r="E36" i="19" l="1"/>
  <c r="M19" i="22" l="1"/>
  <c r="I19" i="22"/>
  <c r="M18" i="22"/>
  <c r="I18" i="22"/>
  <c r="M17" i="22"/>
  <c r="I17" i="22"/>
  <c r="J19" i="22"/>
  <c r="G19" i="22"/>
  <c r="E19" i="22"/>
  <c r="J18" i="22"/>
  <c r="E18" i="22"/>
  <c r="F13" i="19" l="1"/>
  <c r="F6" i="19"/>
  <c r="E6" i="19"/>
  <c r="G18" i="22"/>
  <c r="J17" i="22"/>
  <c r="G17" i="22"/>
  <c r="E17" i="22"/>
  <c r="M11" i="22"/>
  <c r="I11" i="22"/>
  <c r="J11" i="22"/>
  <c r="G11" i="22"/>
  <c r="E11" i="22"/>
  <c r="M18" i="21"/>
  <c r="I18" i="21"/>
  <c r="J18" i="21"/>
  <c r="G18" i="21"/>
  <c r="E18" i="21"/>
  <c r="M17" i="21"/>
  <c r="I17" i="21"/>
  <c r="J17" i="21"/>
  <c r="G17" i="21"/>
  <c r="E17" i="21"/>
  <c r="M16" i="21"/>
  <c r="I16" i="21"/>
  <c r="J16" i="21"/>
  <c r="G16" i="21"/>
  <c r="E16" i="21"/>
  <c r="M10" i="21"/>
  <c r="I10" i="21"/>
  <c r="J10" i="21"/>
  <c r="G10" i="21"/>
  <c r="E10" i="21"/>
  <c r="M18" i="20"/>
  <c r="I18" i="20"/>
  <c r="J18" i="20"/>
  <c r="G18" i="20"/>
  <c r="E18" i="20"/>
  <c r="M17" i="20"/>
  <c r="I17" i="20"/>
  <c r="J17" i="20"/>
  <c r="G17" i="20"/>
  <c r="E17" i="20"/>
  <c r="M16" i="20"/>
  <c r="I16" i="20"/>
  <c r="J16" i="20"/>
  <c r="G16" i="20"/>
  <c r="E16" i="20"/>
  <c r="M10" i="20"/>
  <c r="I10" i="20"/>
  <c r="J10" i="20"/>
  <c r="G10" i="20"/>
  <c r="E10" i="20"/>
  <c r="M10" i="14"/>
  <c r="I10" i="14"/>
  <c r="J10" i="14"/>
  <c r="M18" i="14"/>
  <c r="I18" i="14"/>
  <c r="J18" i="14"/>
  <c r="M17" i="14"/>
  <c r="I17" i="14"/>
  <c r="J17" i="14"/>
  <c r="M16" i="14"/>
  <c r="I16" i="14"/>
  <c r="J16" i="14"/>
  <c r="G17" i="14"/>
  <c r="G18" i="14"/>
  <c r="G10" i="14"/>
  <c r="G19" i="13"/>
  <c r="J19" i="13"/>
  <c r="I10" i="13"/>
  <c r="J10" i="13"/>
  <c r="G10" i="13"/>
  <c r="I19" i="13" l="1"/>
  <c r="F5" i="19"/>
  <c r="E13" i="19"/>
  <c r="E5" i="19" s="1"/>
  <c r="G16" i="14"/>
  <c r="F22" i="19" l="1"/>
  <c r="F24" i="19" s="1"/>
  <c r="E22" i="19"/>
  <c r="E24" i="19" s="1"/>
  <c r="G6" i="19" l="1"/>
  <c r="G13" i="19"/>
  <c r="G5" i="19" l="1"/>
  <c r="G22" i="19" s="1"/>
  <c r="G24" i="19" l="1"/>
  <c r="E17" i="14" l="1"/>
  <c r="E18" i="14"/>
  <c r="M19" i="13"/>
  <c r="M10" i="13"/>
  <c r="E10" i="13"/>
  <c r="E10" i="14"/>
  <c r="E16" i="14"/>
  <c r="M10" i="25" l="1"/>
  <c r="M13" i="25"/>
  <c r="E19" i="13"/>
  <c r="AA13" i="25" l="1"/>
  <c r="AB13" i="25"/>
  <c r="AA10" i="25"/>
  <c r="AB10" i="25"/>
  <c r="M26" i="25"/>
  <c r="M24" i="25"/>
  <c r="M14" i="25"/>
  <c r="AB14" i="25" s="1"/>
  <c r="M25" i="25"/>
  <c r="M16" i="25" l="1"/>
  <c r="AB16" i="25" s="1"/>
  <c r="AA14" i="25"/>
  <c r="M18" i="25" l="1"/>
  <c r="AB18" i="25" s="1"/>
  <c r="AA16" i="25"/>
  <c r="AA18" i="25" l="1"/>
</calcChain>
</file>

<file path=xl/sharedStrings.xml><?xml version="1.0" encoding="utf-8"?>
<sst xmlns="http://schemas.openxmlformats.org/spreadsheetml/2006/main" count="674" uniqueCount="167">
  <si>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</si>
  <si>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</si>
  <si>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</si>
  <si>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</si>
  <si>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</si>
  <si>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</si>
  <si>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</si>
  <si>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</si>
  <si>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</si>
  <si>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</si>
  <si>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</si>
  <si>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</si>
  <si>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</si>
  <si>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</si>
  <si>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</si>
  <si>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</si>
  <si>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</si>
  <si>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</si>
  <si>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</si>
  <si>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</si>
  <si>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Motor</t>
  </si>
  <si>
    <t>3M 2021</t>
  </si>
  <si>
    <t>3M 2022</t>
  </si>
  <si>
    <t>6M 2022</t>
  </si>
  <si>
    <t>9M 2022</t>
  </si>
  <si>
    <t>12M 2022</t>
  </si>
  <si>
    <t>3M 2023</t>
  </si>
  <si>
    <t>6M 2023</t>
  </si>
  <si>
    <t>INDEX</t>
  </si>
  <si>
    <t>IFRS 4</t>
  </si>
  <si>
    <t>Balance sheet</t>
  </si>
  <si>
    <t>P&amp;L</t>
  </si>
  <si>
    <t>Business lines</t>
  </si>
  <si>
    <t>Home</t>
  </si>
  <si>
    <t>Health</t>
  </si>
  <si>
    <t>Other</t>
  </si>
  <si>
    <t>IFRS 17&amp;9</t>
  </si>
  <si>
    <t>Investments</t>
  </si>
  <si>
    <t>Solvency</t>
  </si>
  <si>
    <t>BALANCE SHEET - IFRS 4</t>
  </si>
  <si>
    <t>ASSETS</t>
  </si>
  <si>
    <t>CASH AND CASH EQUIVALENTS</t>
  </si>
  <si>
    <t>AVAILABLE-FOR-SALE FINANCIAL ASSETS</t>
  </si>
  <si>
    <t>Equity investments</t>
  </si>
  <si>
    <t>Debt securities</t>
  </si>
  <si>
    <t>LOANS AND RECEIVABLES</t>
  </si>
  <si>
    <t>HEDGING DERIVATIVES</t>
  </si>
  <si>
    <t>REINSURERS' SHARE OF TECHNICAL PROVISIONS</t>
  </si>
  <si>
    <t>PROPERTY, PLANT AND EQUIPMENT AND INVESTMENT PROPERTY</t>
  </si>
  <si>
    <t>Property, plant and equipment</t>
  </si>
  <si>
    <t>Investment property</t>
  </si>
  <si>
    <t>INTANGIBLE ASSETS</t>
  </si>
  <si>
    <t>OTHER ASSETS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</si>
  <si>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</si>
  <si>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LIABILITIES AND EQUITY</t>
  </si>
  <si>
    <t>DEBT AND ACCOUNTS PAYABLE</t>
  </si>
  <si>
    <t>TECHNICAL PROVISIONS</t>
  </si>
  <si>
    <t>Provision for unearned premiums</t>
  </si>
  <si>
    <t>Provision for unexpired risks</t>
  </si>
  <si>
    <t>Provision for claims</t>
  </si>
  <si>
    <t>NON-TECHNICAL PROVISIONS</t>
  </si>
  <si>
    <t>OTHER LIABILITIES</t>
  </si>
  <si>
    <t>TOTAL LIABILITIES</t>
  </si>
  <si>
    <t>Equity</t>
  </si>
  <si>
    <t>Valuation adjustments</t>
  </si>
  <si>
    <t>TOTAL EQUITY</t>
  </si>
  <si>
    <r>
      <t>TOTAL</t>
    </r>
    <r>
      <rPr>
        <b/>
        <sz val="10"/>
        <color rgb="FFC00000"/>
        <rFont val="Futura Std Light"/>
        <family val="2"/>
      </rPr>
      <t xml:space="preserve"> LIABILITIES AND EQUITY</t>
    </r>
  </si>
  <si>
    <t>Thousand euro</t>
  </si>
  <si>
    <t>INCOME STATEMENT - IFRS 4</t>
  </si>
  <si>
    <t>GROSS WRITTEN PREMIUMS</t>
  </si>
  <si>
    <t>PREMIUMS EARNED, NET OF REINSURANCE</t>
  </si>
  <si>
    <t>Claims for the year, net of reinsurance</t>
  </si>
  <si>
    <t>Net operating expenses</t>
  </si>
  <si>
    <t>Other technical income and expenses</t>
  </si>
  <si>
    <t>TECHNICAL RESULT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</si>
  <si>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</si>
  <si>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</si>
  <si>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</si>
  <si>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</si>
  <si>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</si>
  <si>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PROFIT/(LOSS) BEFORE TAX</t>
  </si>
  <si>
    <t>Income tax</t>
  </si>
  <si>
    <t>PROFIT/(LOSS) FOR THE YEAR</t>
  </si>
  <si>
    <t>Loss ratio</t>
  </si>
  <si>
    <t>Expense ratio</t>
  </si>
  <si>
    <t>COMBINED RATIO</t>
  </si>
  <si>
    <t>STANDALONE QUARTERS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</si>
  <si>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</si>
  <si>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</si>
  <si>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</si>
  <si>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</si>
  <si>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</si>
  <si>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</si>
  <si>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</si>
  <si>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</si>
  <si>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</si>
  <si>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</si>
  <si>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</si>
  <si>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</si>
  <si>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Thousand euro, ratios in %</t>
  </si>
  <si>
    <t>BUSINESS LINES - IFRS 4</t>
  </si>
  <si>
    <t>GROSS WRITTEN PREIMIUMS</t>
  </si>
  <si>
    <t>MOTOR - IFRS 4</t>
  </si>
  <si>
    <t>HOME - IFRS 4</t>
  </si>
  <si>
    <t>HEALTH - IFRS 4</t>
  </si>
  <si>
    <t>OTHER INSURANCE BUSINESSES - IFRS 4</t>
  </si>
  <si>
    <t>Profit sharing and premium refunds</t>
  </si>
  <si>
    <t>BALANCE SHEET - IFRS 17&amp;9</t>
  </si>
  <si>
    <t>FINANCIAL INVESTMENTS</t>
  </si>
  <si>
    <t>REINSURANCE CONTRACT ASSETS</t>
  </si>
  <si>
    <t>INSURANCE CONTRACT LIABILITIES</t>
  </si>
  <si>
    <t>Liability incurred claims</t>
  </si>
  <si>
    <t>Liability for remaining coverage</t>
  </si>
  <si>
    <t>INCOME STATEMENT - IFRS 17&amp;9</t>
  </si>
  <si>
    <t>NET INVESTMENTS RESULT</t>
  </si>
  <si>
    <t>PROFIT/(LOSS) AFTER TAX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</si>
  <si>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</si>
  <si>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</si>
  <si>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</si>
  <si>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</si>
  <si>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</si>
  <si>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</si>
  <si>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</si>
  <si>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</si>
  <si>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</si>
  <si>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</si>
  <si>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</si>
  <si>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</si>
  <si>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</si>
  <si>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</si>
  <si>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</si>
  <si>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</si>
  <si>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</si>
  <si>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</si>
  <si>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</si>
  <si>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</si>
  <si>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</si>
  <si>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</si>
  <si>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</si>
  <si>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</si>
  <si>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</si>
  <si>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</si>
  <si>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</si>
  <si>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</si>
  <si>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SOLVENCY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</si>
  <si>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</si>
  <si>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</si>
  <si>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</si>
  <si>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</si>
  <si>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</si>
  <si>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</si>
  <si>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</si>
  <si>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</si>
  <si>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</si>
  <si>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</si>
  <si>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</si>
  <si>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</si>
  <si>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</si>
  <si>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</si>
  <si>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Ordinary insurance activities expenses</t>
  </si>
  <si>
    <t>Reinsurance recoverable amount</t>
  </si>
  <si>
    <t>Result from other activities</t>
  </si>
  <si>
    <t>ORDINARY INSURANCE ACTIVITIES INCOME</t>
  </si>
  <si>
    <t>ORDINARY INSURANCE ACTIVITIES RESULT</t>
  </si>
  <si>
    <t>TECHNICAL INSURANCE RESULT</t>
  </si>
  <si>
    <t>9M 2023</t>
  </si>
  <si>
    <t>3Q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</si>
</sst>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sz val="10"/>
      <color rgb="FFC00000"/>
      <name val="Calibri"/>
      <family val="2"/>
      <scheme val="minor"/>
    </font>
    <font>
      <sz val="10"/>
      <color rgb="FFC00000"/>
      <name val="Futura Std Light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Futura Std Light"/>
      <family val="2"/>
    </font>
    <font>
      <b/>
      <sz val="10"/>
      <name val="Futura Std Light"/>
      <family val="2"/>
    </font>
    <font>
      <b/>
      <sz val="10"/>
      <color rgb="FF595959"/>
      <name val="Futura Std Light"/>
      <family val="2"/>
    </font>
    <font>
      <b/>
      <sz val="9"/>
      <color theme="0"/>
      <name val="Futura St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rgb="FF595959"/>
      </bottom>
      <diagonal/>
    </border>
    <border>
      <left/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auto="1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000000"/>
      </top>
      <bottom style="thin">
        <color rgb="FF595959"/>
      </bottom>
      <diagonal/>
    </border>
    <border>
      <left/>
      <right/>
      <top style="thin">
        <color rgb="FF000000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000000"/>
      </bottom>
      <diagonal/>
    </border>
    <border>
      <left/>
      <right/>
      <top style="thin">
        <color rgb="FF595959"/>
      </top>
      <bottom/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72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10" fontId="4" fillId="2" borderId="0" xfId="2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readingOrder="1"/>
    </xf>
    <xf numFmtId="0" fontId="9" fillId="3" borderId="0" xfId="0" applyFont="1" applyFill="1" applyAlignment="1">
      <alignment horizontal="left" vertical="center" readingOrder="1"/>
    </xf>
    <xf numFmtId="165" fontId="8" fillId="2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4" fontId="11" fillId="0" borderId="1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14" fontId="9" fillId="4" borderId="7" xfId="1" applyNumberFormat="1" applyFont="1" applyFill="1" applyBorder="1" applyAlignment="1">
      <alignment horizontal="right" vertical="center"/>
    </xf>
    <xf numFmtId="166" fontId="11" fillId="4" borderId="8" xfId="1" applyNumberFormat="1" applyFont="1" applyFill="1" applyBorder="1" applyAlignment="1">
      <alignment horizontal="right" vertical="center"/>
    </xf>
    <xf numFmtId="166" fontId="12" fillId="4" borderId="8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 readingOrder="1"/>
    </xf>
    <xf numFmtId="0" fontId="12" fillId="0" borderId="0" xfId="0" applyFont="1" applyAlignment="1">
      <alignment vertical="center"/>
    </xf>
    <xf numFmtId="166" fontId="12" fillId="0" borderId="0" xfId="1" applyNumberFormat="1" applyFont="1" applyFill="1" applyBorder="1" applyAlignment="1">
      <alignment vertical="center"/>
    </xf>
    <xf numFmtId="166" fontId="11" fillId="4" borderId="8" xfId="1" applyNumberFormat="1" applyFont="1" applyFill="1" applyBorder="1" applyAlignment="1">
      <alignment vertical="center"/>
    </xf>
    <xf numFmtId="166" fontId="12" fillId="4" borderId="8" xfId="1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right" vertical="center" wrapText="1"/>
    </xf>
    <xf numFmtId="165" fontId="15" fillId="0" borderId="1" xfId="1" applyNumberFormat="1" applyFont="1" applyFill="1" applyBorder="1" applyAlignment="1">
      <alignment horizontal="right" vertical="center"/>
    </xf>
    <xf numFmtId="164" fontId="15" fillId="0" borderId="2" xfId="2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8" fontId="12" fillId="0" borderId="0" xfId="2" applyNumberFormat="1" applyFont="1" applyFill="1" applyBorder="1" applyAlignment="1">
      <alignment horizontal="right" vertical="center"/>
    </xf>
    <xf numFmtId="168" fontId="11" fillId="0" borderId="2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4" fontId="12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11" fillId="0" borderId="2" xfId="2" applyNumberFormat="1" applyFont="1" applyFill="1" applyBorder="1" applyAlignment="1">
      <alignment horizontal="right" vertical="center"/>
    </xf>
    <xf numFmtId="164" fontId="11" fillId="4" borderId="5" xfId="2" applyNumberFormat="1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/>
    </xf>
    <xf numFmtId="164" fontId="11" fillId="4" borderId="6" xfId="2" applyNumberFormat="1" applyFont="1" applyFill="1" applyBorder="1" applyAlignment="1">
      <alignment horizontal="center" vertical="center"/>
    </xf>
    <xf numFmtId="0" fontId="8" fillId="0" borderId="0" xfId="0" applyFont="1"/>
    <xf numFmtId="0" fontId="8" fillId="4" borderId="0" xfId="0" applyFont="1" applyFill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3" fillId="0" borderId="0" xfId="0" applyFont="1"/>
    <xf numFmtId="0" fontId="12" fillId="0" borderId="0" xfId="0" applyFont="1"/>
    <xf numFmtId="3" fontId="12" fillId="0" borderId="0" xfId="0" applyNumberFormat="1" applyFont="1"/>
    <xf numFmtId="166" fontId="12" fillId="0" borderId="0" xfId="0" applyNumberFormat="1" applyFont="1"/>
    <xf numFmtId="0" fontId="11" fillId="0" borderId="0" xfId="0" applyFont="1"/>
    <xf numFmtId="3" fontId="11" fillId="0" borderId="0" xfId="0" applyNumberFormat="1" applyFont="1"/>
    <xf numFmtId="9" fontId="11" fillId="0" borderId="12" xfId="2" applyFont="1" applyFill="1" applyBorder="1" applyAlignment="1">
      <alignment vertical="center"/>
    </xf>
    <xf numFmtId="9" fontId="11" fillId="0" borderId="1" xfId="2" applyFont="1" applyFill="1" applyBorder="1" applyAlignment="1">
      <alignment vertical="center"/>
    </xf>
    <xf numFmtId="0" fontId="14" fillId="0" borderId="0" xfId="0" applyFont="1" applyAlignment="1">
      <alignment horizontal="left" indent="1"/>
    </xf>
    <xf numFmtId="9" fontId="14" fillId="0" borderId="0" xfId="2" applyFont="1"/>
    <xf numFmtId="165" fontId="11" fillId="0" borderId="0" xfId="1" applyNumberFormat="1" applyFont="1" applyFill="1" applyBorder="1" applyAlignment="1">
      <alignment vertical="center"/>
    </xf>
    <xf numFmtId="0" fontId="17" fillId="4" borderId="0" xfId="3" applyFont="1" applyFill="1" applyBorder="1" applyAlignment="1">
      <alignment horizontal="left" vertical="center" indent="1"/>
    </xf>
    <xf numFmtId="0" fontId="18" fillId="4" borderId="0" xfId="3" applyFont="1" applyFill="1" applyBorder="1" applyAlignment="1">
      <alignment horizontal="left" vertical="center" indent="2"/>
    </xf>
    <xf numFmtId="164" fontId="11" fillId="4" borderId="13" xfId="2" applyNumberFormat="1" applyFont="1" applyFill="1" applyBorder="1" applyAlignment="1">
      <alignment horizontal="center" vertical="center"/>
    </xf>
    <xf numFmtId="164" fontId="11" fillId="4" borderId="1" xfId="2" applyNumberFormat="1" applyFont="1" applyFill="1" applyBorder="1" applyAlignment="1">
      <alignment horizontal="center" vertical="center"/>
    </xf>
    <xf numFmtId="167" fontId="15" fillId="0" borderId="2" xfId="2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center" vertical="center"/>
    </xf>
    <xf numFmtId="169" fontId="0" fillId="2" borderId="0" xfId="2" applyNumberFormat="1" applyFont="1" applyFill="1" applyAlignment="1">
      <alignment vertical="center"/>
    </xf>
    <xf numFmtId="165" fontId="11" fillId="0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5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1" fillId="0" borderId="12" xfId="1" applyNumberFormat="1" applyFont="1" applyFill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6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 readingOrder="1"/>
    </xf>
    <xf numFmtId="0" fontId="11" fillId="0" borderId="2" xfId="0" applyFont="1" applyBorder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9" fillId="0" borderId="0" xfId="0" applyFont="1"/>
    <xf numFmtId="0" fontId="9" fillId="0" borderId="3" xfId="0" applyFont="1" applyBorder="1" applyAlignment="1">
      <alignment vertical="center" readingOrder="1"/>
    </xf>
    <xf numFmtId="165" fontId="20" fillId="0" borderId="0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9" fillId="4" borderId="7" xfId="1" applyNumberFormat="1" applyFont="1" applyFill="1" applyBorder="1" applyAlignment="1">
      <alignment horizontal="right" vertical="center"/>
    </xf>
    <xf numFmtId="164" fontId="12" fillId="4" borderId="8" xfId="2" applyNumberFormat="1" applyFont="1" applyFill="1" applyBorder="1" applyAlignment="1">
      <alignment horizontal="right" vertical="center"/>
    </xf>
    <xf numFmtId="164" fontId="11" fillId="4" borderId="9" xfId="2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4" fontId="15" fillId="2" borderId="2" xfId="2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/>
    </xf>
    <xf numFmtId="167" fontId="15" fillId="0" borderId="2" xfId="0" applyNumberFormat="1" applyFont="1" applyBorder="1" applyAlignment="1">
      <alignment horizontal="right" vertical="center"/>
    </xf>
    <xf numFmtId="165" fontId="11" fillId="4" borderId="8" xfId="1" applyNumberFormat="1" applyFont="1" applyFill="1" applyBorder="1" applyAlignment="1">
      <alignment horizontal="right" vertical="center"/>
    </xf>
    <xf numFmtId="165" fontId="11" fillId="4" borderId="9" xfId="1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3" applyFont="1" applyFill="1" applyBorder="1" applyAlignment="1">
      <alignment horizontal="left" vertical="center"/>
    </xf>
    <xf numFmtId="165" fontId="16" fillId="5" borderId="14" xfId="0" applyNumberFormat="1" applyFont="1" applyFill="1" applyBorder="1" applyAlignment="1">
      <alignment horizontal="right" vertical="center" wrapText="1" readingOrder="1"/>
    </xf>
    <xf numFmtId="165" fontId="25" fillId="5" borderId="16" xfId="0" applyNumberFormat="1" applyFont="1" applyFill="1" applyBorder="1" applyAlignment="1">
      <alignment horizontal="right" vertical="center" wrapText="1" readingOrder="1"/>
    </xf>
    <xf numFmtId="165" fontId="16" fillId="5" borderId="17" xfId="0" applyNumberFormat="1" applyFont="1" applyFill="1" applyBorder="1" applyAlignment="1">
      <alignment horizontal="right" vertical="center" wrapText="1" readingOrder="1"/>
    </xf>
    <xf numFmtId="165" fontId="25" fillId="5" borderId="19" xfId="0" applyNumberFormat="1" applyFont="1" applyFill="1" applyBorder="1" applyAlignment="1">
      <alignment horizontal="right" vertical="center" wrapText="1" readingOrder="1"/>
    </xf>
    <xf numFmtId="165" fontId="25" fillId="5" borderId="21" xfId="0" applyNumberFormat="1" applyFont="1" applyFill="1" applyBorder="1" applyAlignment="1">
      <alignment horizontal="right" vertical="center" wrapText="1" readingOrder="1"/>
    </xf>
    <xf numFmtId="0" fontId="11" fillId="0" borderId="22" xfId="0" applyFont="1" applyBorder="1" applyAlignment="1">
      <alignment horizontal="left" vertical="center" readingOrder="1"/>
    </xf>
    <xf numFmtId="165" fontId="25" fillId="5" borderId="23" xfId="0" applyNumberFormat="1" applyFont="1" applyFill="1" applyBorder="1" applyAlignment="1">
      <alignment horizontal="right" vertical="center" wrapText="1" readingOrder="1"/>
    </xf>
    <xf numFmtId="0" fontId="12" fillId="0" borderId="25" xfId="0" applyFont="1" applyBorder="1" applyAlignment="1">
      <alignment horizontal="left" vertical="center"/>
    </xf>
    <xf numFmtId="165" fontId="16" fillId="5" borderId="26" xfId="0" applyNumberFormat="1" applyFont="1" applyFill="1" applyBorder="1" applyAlignment="1">
      <alignment horizontal="right" vertical="center" wrapText="1" readingOrder="1"/>
    </xf>
    <xf numFmtId="0" fontId="11" fillId="0" borderId="18" xfId="0" applyFont="1" applyBorder="1" applyAlignment="1">
      <alignment horizontal="left" vertical="center" readingOrder="1"/>
    </xf>
    <xf numFmtId="165" fontId="25" fillId="5" borderId="26" xfId="0" applyNumberFormat="1" applyFont="1" applyFill="1" applyBorder="1" applyAlignment="1">
      <alignment horizontal="right" vertical="center" wrapText="1" readingOrder="1"/>
    </xf>
    <xf numFmtId="165" fontId="12" fillId="0" borderId="8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6" fillId="0" borderId="11" xfId="0" applyNumberFormat="1" applyFont="1" applyBorder="1" applyAlignment="1">
      <alignment horizontal="right" vertical="center" wrapText="1" readingOrder="1"/>
    </xf>
    <xf numFmtId="165" fontId="25" fillId="0" borderId="15" xfId="0" applyNumberFormat="1" applyFont="1" applyBorder="1" applyAlignment="1">
      <alignment horizontal="right" vertical="center" wrapText="1" readingOrder="1"/>
    </xf>
    <xf numFmtId="165" fontId="16" fillId="0" borderId="18" xfId="0" applyNumberFormat="1" applyFont="1" applyBorder="1" applyAlignment="1">
      <alignment horizontal="right" vertical="center" wrapText="1" readingOrder="1"/>
    </xf>
    <xf numFmtId="165" fontId="25" fillId="0" borderId="20" xfId="0" applyNumberFormat="1" applyFont="1" applyBorder="1" applyAlignment="1">
      <alignment horizontal="right" vertical="center" wrapText="1" readingOrder="1"/>
    </xf>
    <xf numFmtId="165" fontId="25" fillId="0" borderId="24" xfId="0" applyNumberFormat="1" applyFont="1" applyBorder="1" applyAlignment="1">
      <alignment horizontal="right" vertical="center" wrapText="1" readingOrder="1"/>
    </xf>
    <xf numFmtId="165" fontId="16" fillId="0" borderId="25" xfId="0" applyNumberFormat="1" applyFont="1" applyBorder="1" applyAlignment="1">
      <alignment horizontal="right" vertical="center" wrapText="1" readingOrder="1"/>
    </xf>
    <xf numFmtId="165" fontId="25" fillId="0" borderId="27" xfId="0" applyNumberFormat="1" applyFont="1" applyBorder="1" applyAlignment="1">
      <alignment horizontal="right" vertical="center" wrapText="1" readingOrder="1"/>
    </xf>
    <xf numFmtId="0" fontId="16" fillId="0" borderId="11" xfId="0" applyFont="1" applyBorder="1" applyAlignment="1">
      <alignment horizontal="left" vertical="center" wrapText="1" readingOrder="1"/>
    </xf>
    <xf numFmtId="0" fontId="25" fillId="0" borderId="28" xfId="0" applyFont="1" applyBorder="1" applyAlignment="1">
      <alignment horizontal="left" vertical="center" wrapText="1" readingOrder="1"/>
    </xf>
    <xf numFmtId="0" fontId="16" fillId="0" borderId="18" xfId="0" applyFont="1" applyBorder="1" applyAlignment="1">
      <alignment horizontal="left" vertical="center" wrapText="1" readingOrder="1"/>
    </xf>
    <xf numFmtId="0" fontId="25" fillId="0" borderId="20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left" vertical="center" readingOrder="1"/>
    </xf>
    <xf numFmtId="0" fontId="26" fillId="6" borderId="0" xfId="3" applyFont="1" applyFill="1" applyBorder="1" applyAlignment="1">
      <alignment horizontal="center" vertical="center"/>
    </xf>
    <xf numFmtId="0" fontId="26" fillId="6" borderId="0" xfId="0" applyFont="1" applyFill="1" applyAlignment="1">
      <alignment horizontal="left" vertical="center" indent="1"/>
    </xf>
    <xf numFmtId="0" fontId="9" fillId="0" borderId="1" xfId="0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horizontal="right" vertical="center" wrapText="1" readingOrder="1"/>
    </xf>
    <xf numFmtId="166" fontId="11" fillId="2" borderId="2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168" fontId="12" fillId="4" borderId="8" xfId="2" applyNumberFormat="1" applyFont="1" applyFill="1" applyBorder="1" applyAlignment="1">
      <alignment horizontal="right" vertical="center"/>
    </xf>
    <xf numFmtId="168" fontId="11" fillId="4" borderId="9" xfId="2" applyNumberFormat="1" applyFont="1" applyFill="1" applyBorder="1" applyAlignment="1">
      <alignment horizontal="right" vertical="center"/>
    </xf>
    <xf numFmtId="165" fontId="12" fillId="4" borderId="8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6" fontId="11" fillId="4" borderId="30" xfId="1" applyNumberFormat="1" applyFont="1" applyFill="1" applyBorder="1" applyAlignment="1">
      <alignment horizontal="center" vertical="center"/>
    </xf>
    <xf numFmtId="166" fontId="12" fillId="4" borderId="30" xfId="1" applyNumberFormat="1" applyFont="1" applyFill="1" applyBorder="1" applyAlignment="1">
      <alignment horizontal="center" vertical="center"/>
    </xf>
    <xf numFmtId="165" fontId="11" fillId="4" borderId="30" xfId="1" applyNumberFormat="1" applyFont="1" applyFill="1" applyBorder="1" applyAlignment="1">
      <alignment horizontal="center" vertical="center"/>
    </xf>
    <xf numFmtId="165" fontId="11" fillId="4" borderId="31" xfId="1" applyNumberFormat="1" applyFont="1" applyFill="1" applyBorder="1" applyAlignment="1">
      <alignment horizontal="center" vertical="center"/>
    </xf>
    <xf numFmtId="165" fontId="11" fillId="4" borderId="32" xfId="1" applyNumberFormat="1" applyFont="1" applyFill="1" applyBorder="1" applyAlignment="1">
      <alignment horizontal="center" vertical="center"/>
    </xf>
    <xf numFmtId="3" fontId="11" fillId="4" borderId="8" xfId="1" applyNumberFormat="1" applyFont="1" applyFill="1" applyBorder="1" applyAlignment="1">
      <alignment vertical="center"/>
    </xf>
    <xf numFmtId="9" fontId="14" fillId="4" borderId="8" xfId="2" applyFont="1" applyFill="1" applyBorder="1" applyAlignment="1">
      <alignment vertical="center"/>
    </xf>
    <xf numFmtId="9" fontId="11" fillId="4" borderId="33" xfId="2" applyFont="1" applyFill="1" applyBorder="1" applyAlignment="1">
      <alignment vertical="center"/>
    </xf>
    <xf numFmtId="9" fontId="11" fillId="4" borderId="7" xfId="2" applyFont="1" applyFill="1" applyBorder="1" applyAlignment="1">
      <alignment vertical="center"/>
    </xf>
    <xf numFmtId="0" fontId="25" fillId="0" borderId="0" xfId="0" applyFont="1" applyAlignment="1">
      <alignment horizontal="left" vertical="center" wrapText="1" readingOrder="1"/>
    </xf>
    <xf numFmtId="0" fontId="8" fillId="0" borderId="18" xfId="0" applyFont="1" applyBorder="1"/>
    <xf numFmtId="0" fontId="8" fillId="0" borderId="18" xfId="0" applyFont="1" applyBorder="1" applyAlignment="1">
      <alignment vertical="center"/>
    </xf>
    <xf numFmtId="165" fontId="14" fillId="0" borderId="0" xfId="0" applyNumberFormat="1" applyFont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9" fillId="4" borderId="29" xfId="1" applyNumberFormat="1" applyFont="1" applyFill="1" applyBorder="1" applyAlignment="1">
      <alignment horizontal="center" vertical="center"/>
    </xf>
    <xf numFmtId="0" fontId="9" fillId="4" borderId="4" xfId="1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5" xfId="4" xr:uid="{06D17B51-E801-4572-B6B8-C55CA8E92F74}"/>
    <cellStyle name="Porcentaje" xfId="2" builtinId="5"/>
  </cellStyles>
  <dxfs count="0"/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31AC9CF-36EF-6EF7-7AA9-FD6BF0AFB73B}"/>
            </a:ext>
          </a:extLst>
        </xdr:cNvPr>
        <xdr:cNvSpPr/>
      </xdr:nvSpPr>
      <xdr:spPr>
        <a:xfrm>
          <a:off x="0" y="0"/>
          <a:ext cx="5437188" cy="361156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7937</xdr:colOff>
      <xdr:row>18</xdr:row>
      <xdr:rowOff>13665</xdr:rowOff>
    </xdr:to>
    <xdr:pic>
      <xdr:nvPicPr>
        <xdr:cNvPr id="2" name="Imagen 1" descr="La fachada de un local comercial&#10;&#10;Descripción generada automáticamente con confianza baja">
          <a:extLst>
            <a:ext uri="{FF2B5EF4-FFF2-40B4-BE49-F238E27FC236}">
              <a16:creationId xmlns:a16="http://schemas.microsoft.com/office/drawing/2014/main" id="{E8D5624E-5C01-A23A-65AC-46AA9CB5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5125" cy="3625228"/>
        </a:xfrm>
        <a:prstGeom prst="flowChartManualInput">
          <a:avLst/>
        </a:prstGeom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19049</xdr:colOff>
      <xdr:row>18</xdr:row>
      <xdr:rowOff>9524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5562710-3445-4D38-A4A2-8D6ADC94B3C1}"/>
            </a:ext>
          </a:extLst>
        </xdr:cNvPr>
        <xdr:cNvSpPr/>
      </xdr:nvSpPr>
      <xdr:spPr>
        <a:xfrm>
          <a:off x="0" y="0"/>
          <a:ext cx="5457824" cy="3648074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6</xdr:row>
      <xdr:rowOff>107683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91BECA1D-58A6-4C22-BCE0-DD5926076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14</xdr:row>
      <xdr:rowOff>111889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EC123D2-AEED-45BC-B404-5F0ECD453579}"/>
            </a:ext>
          </a:extLst>
        </xdr:cNvPr>
        <xdr:cNvSpPr/>
      </xdr:nvSpPr>
      <xdr:spPr>
        <a:xfrm>
          <a:off x="114300" y="1948911"/>
          <a:ext cx="2293620" cy="100142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Supplement</a:t>
          </a:r>
        </a:p>
      </xdr:txBody>
    </xdr:sp>
    <xdr:clientData/>
  </xdr:twoCellAnchor>
  <xdr:twoCellAnchor>
    <xdr:from>
      <xdr:col>0</xdr:col>
      <xdr:colOff>112395</xdr:colOff>
      <xdr:row>13</xdr:row>
      <xdr:rowOff>36196</xdr:rowOff>
    </xdr:from>
    <xdr:to>
      <xdr:col>3</xdr:col>
      <xdr:colOff>409575</xdr:colOff>
      <xdr:row>16</xdr:row>
      <xdr:rowOff>56216</xdr:rowOff>
    </xdr:to>
    <xdr:sp macro="" textlink="">
      <xdr:nvSpPr>
        <xdr:cNvPr id="13" name="Título 1">
          <a:extLst>
            <a:ext uri="{FF2B5EF4-FFF2-40B4-BE49-F238E27FC236}">
              <a16:creationId xmlns:a16="http://schemas.microsoft.com/office/drawing/2014/main" id="{D00036FF-5B25-4B60-BCD1-E04EFCEC4D93}"/>
            </a:ext>
          </a:extLst>
        </xdr:cNvPr>
        <xdr:cNvSpPr txBox="1">
          <a:spLocks/>
        </xdr:cNvSpPr>
      </xdr:nvSpPr>
      <xdr:spPr>
        <a:xfrm>
          <a:off x="112395" y="2674621"/>
          <a:ext cx="2583180" cy="620095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Futura Std Book" panose="020B0502020204020303" pitchFamily="34" charset="0"/>
              <a:ea typeface="Cambria" panose="02040503050406030204" pitchFamily="18" charset="0"/>
            </a:rPr>
            <a:t>September 2023 Results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theme="1"/>
  </sheetPr>
  <dimension ref="A1:H19"/>
  <sheetViews>
    <sheetView showGridLines="0" tabSelected="1" zoomScaleNormal="100" workbookViewId="0"/>
  </sheetViews>
  <sheetFormatPr baseColWidth="10" defaultColWidth="11.42578125" defaultRowHeight="15.75" x14ac:dyDescent="0.3"/>
  <cols>
    <col min="1" max="6" width="11.42578125" style="53"/>
    <col min="7" max="7" width="13" style="53" customWidth="1"/>
    <col min="8" max="8" width="31.5703125" style="25" bestFit="1" customWidth="1"/>
    <col min="9" max="16384" width="11.42578125" style="53"/>
  </cols>
  <sheetData>
    <row r="1" spans="8:8" ht="18.75" customHeight="1" x14ac:dyDescent="0.3">
      <c r="H1" s="144" t="s">
        <v>28</v>
      </c>
    </row>
    <row r="2" spans="8:8" x14ac:dyDescent="0.3">
      <c r="H2" s="54"/>
    </row>
    <row r="3" spans="8:8" x14ac:dyDescent="0.3">
      <c r="H3" s="116" t="s">
        <v>29</v>
      </c>
    </row>
    <row r="4" spans="8:8" x14ac:dyDescent="0.3">
      <c r="H4" s="68" t="s">
        <v>30</v>
      </c>
    </row>
    <row r="5" spans="8:8" x14ac:dyDescent="0.3">
      <c r="H5" s="68" t="s">
        <v>31</v>
      </c>
    </row>
    <row r="6" spans="8:8" x14ac:dyDescent="0.3">
      <c r="H6" s="68" t="s">
        <v>32</v>
      </c>
    </row>
    <row r="7" spans="8:8" x14ac:dyDescent="0.3">
      <c r="H7" s="69" t="s">
        <v>20</v>
      </c>
    </row>
    <row r="8" spans="8:8" x14ac:dyDescent="0.3">
      <c r="H8" s="69" t="s">
        <v>33</v>
      </c>
    </row>
    <row r="9" spans="8:8" x14ac:dyDescent="0.3">
      <c r="H9" s="69" t="s">
        <v>34</v>
      </c>
    </row>
    <row r="10" spans="8:8" x14ac:dyDescent="0.3">
      <c r="H10" s="69" t="s">
        <v>35</v>
      </c>
    </row>
    <row r="11" spans="8:8" x14ac:dyDescent="0.3">
      <c r="H11" s="54"/>
    </row>
    <row r="12" spans="8:8" x14ac:dyDescent="0.3">
      <c r="H12" s="115" t="s">
        <v>36</v>
      </c>
    </row>
    <row r="13" spans="8:8" x14ac:dyDescent="0.3">
      <c r="H13" s="68" t="s">
        <v>30</v>
      </c>
    </row>
    <row r="14" spans="8:8" x14ac:dyDescent="0.3">
      <c r="H14" s="68" t="s">
        <v>31</v>
      </c>
    </row>
    <row r="15" spans="8:8" x14ac:dyDescent="0.3">
      <c r="H15" s="54"/>
    </row>
    <row r="16" spans="8:8" x14ac:dyDescent="0.3">
      <c r="H16" s="117" t="s">
        <v>37</v>
      </c>
    </row>
    <row r="17" spans="1:8" x14ac:dyDescent="0.3">
      <c r="H17" s="117" t="s">
        <v>38</v>
      </c>
    </row>
    <row r="18" spans="1:8" x14ac:dyDescent="0.3">
      <c r="H18" s="54"/>
    </row>
    <row r="19" spans="1:8" ht="5.25" customHeight="1" x14ac:dyDescent="0.3">
      <c r="A19" s="166"/>
      <c r="B19" s="166"/>
      <c r="C19" s="166"/>
      <c r="D19" s="166"/>
      <c r="E19" s="166"/>
      <c r="F19" s="166"/>
      <c r="G19" s="166"/>
      <c r="H19" s="167"/>
    </row>
  </sheetData>
  <hyperlinks>
    <hyperlink ref="H4" location="'Balance sheet'!A1" display="Balance sheet" xr:uid="{FE2BEE06-75C7-458B-8E29-1B6FC9F4F468}"/>
    <hyperlink ref="H5" location="'P&amp;L'!A1" display="P&amp;L" xr:uid="{8C6665BE-6ED0-43FA-91AF-EBEDC746B0DA}"/>
    <hyperlink ref="H6" location="'Business lines'!A1" display="Business lines" xr:uid="{E70D77EB-26A1-41E1-AB47-54ADE5E3CC66}"/>
    <hyperlink ref="H8" location="Home!A1" display="Home" xr:uid="{AB5156D6-EA76-429A-BBDD-3B3C1DC45395}"/>
    <hyperlink ref="H9" location="Health!A1" display="Health" xr:uid="{F029259D-3D98-4A75-8E82-F7BA2FDA8A97}"/>
    <hyperlink ref="H10" location="Other!A1" display="Other" xr:uid="{E00B0154-20B2-4BDE-9A31-EDF9564A2FB3}"/>
    <hyperlink ref="H16" location="Investments!A1" display="Investments" xr:uid="{B737B1AA-133E-49F4-B9D1-C05F75064CE0}"/>
    <hyperlink ref="H17" location="Solvency!A1" display="Solvency" xr:uid="{008650B0-7C88-4A41-8497-3E1E93E0CC5E}"/>
    <hyperlink ref="H13" location="'Balance sheet - IFRS 17&amp;9'!A1" display="Balance sheet" xr:uid="{F9957390-777E-4EB5-9D1F-37E9E25624EB}"/>
    <hyperlink ref="H14" location="'P&amp;L - IFRS 17&amp;9'!A1" display="P&amp;L" xr:uid="{A50B7FCB-FC79-4100-94FB-5E1BB931D7EB}"/>
    <hyperlink ref="H7" location="Motor!A1" display="Motor" xr:uid="{FE9C15AC-4688-4226-814C-BEE32E925A47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D717-1246-451C-B03A-75859BCF01FE}">
  <sheetPr>
    <tabColor theme="2" tint="-0.249977111117893"/>
  </sheetPr>
  <dimension ref="B1:J2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52.42578125" style="1" customWidth="1"/>
    <col min="5" max="6" width="13.28515625" style="1" hidden="1" customWidth="1" outlineLevel="1"/>
    <col min="7" max="7" width="13.28515625" style="1" customWidth="1" collapsed="1"/>
    <col min="8" max="9" width="13.28515625" style="1" hidden="1" customWidth="1" outlineLevel="1"/>
    <col min="10" max="10" width="13.28515625" style="1" customWidth="1" collapsed="1"/>
    <col min="11" max="16384" width="11.42578125" style="1"/>
  </cols>
  <sheetData>
    <row r="1" spans="2:10" ht="16.5" customHeight="1" x14ac:dyDescent="0.25"/>
    <row r="2" spans="2:10" ht="18.75" customHeight="1" thickBot="1" x14ac:dyDescent="0.3">
      <c r="B2" s="143" t="s">
        <v>28</v>
      </c>
      <c r="D2" s="19" t="s">
        <v>113</v>
      </c>
      <c r="E2" s="19"/>
      <c r="F2" s="19"/>
      <c r="G2" s="19"/>
      <c r="H2" s="19"/>
      <c r="I2" s="19"/>
      <c r="J2" s="19"/>
    </row>
    <row r="3" spans="2:10" ht="15.75" x14ac:dyDescent="0.25">
      <c r="B3" s="25"/>
      <c r="D3" s="26"/>
      <c r="E3" s="27"/>
      <c r="F3" s="27"/>
      <c r="G3" s="27"/>
      <c r="H3" s="27"/>
      <c r="I3" s="27"/>
      <c r="J3" s="27"/>
    </row>
    <row r="4" spans="2:10" ht="16.5" thickBot="1" x14ac:dyDescent="0.3">
      <c r="B4" s="25"/>
      <c r="D4" s="32"/>
      <c r="E4" s="16" t="s">
        <v>22</v>
      </c>
      <c r="F4" s="16" t="s">
        <v>23</v>
      </c>
      <c r="G4" s="16" t="s">
        <v>24</v>
      </c>
      <c r="H4" s="16" t="s">
        <v>26</v>
      </c>
      <c r="I4" s="16" t="s">
        <v>27</v>
      </c>
      <c r="J4" s="21" t="s">
        <v>165</v>
      </c>
    </row>
    <row r="5" spans="2:10" ht="15.75" customHeight="1" x14ac:dyDescent="0.25">
      <c r="D5" s="26" t="s">
        <v>162</v>
      </c>
      <c r="E5" s="14">
        <v>224894</v>
      </c>
      <c r="F5" s="14">
        <v>454195</v>
      </c>
      <c r="G5" s="14">
        <v>688638</v>
      </c>
      <c r="H5" s="14">
        <v>234569</v>
      </c>
      <c r="I5" s="14">
        <v>473663</v>
      </c>
      <c r="J5" s="30">
        <v>716227</v>
      </c>
    </row>
    <row r="6" spans="2:10" ht="15.75" customHeight="1" x14ac:dyDescent="0.25">
      <c r="D6" s="138" t="s">
        <v>159</v>
      </c>
      <c r="E6" s="133">
        <v>-198635</v>
      </c>
      <c r="F6" s="133">
        <v>-405221</v>
      </c>
      <c r="G6" s="133">
        <v>-638185</v>
      </c>
      <c r="H6" s="131">
        <v>-247357</v>
      </c>
      <c r="I6" s="131">
        <v>-507903</v>
      </c>
      <c r="J6" s="118">
        <v>-755588</v>
      </c>
    </row>
    <row r="7" spans="2:10" ht="15.75" customHeight="1" x14ac:dyDescent="0.25">
      <c r="D7" s="139" t="s">
        <v>163</v>
      </c>
      <c r="E7" s="134">
        <f t="shared" ref="E7:J7" si="0">SUM(E5:E6)</f>
        <v>26259</v>
      </c>
      <c r="F7" s="134">
        <f t="shared" si="0"/>
        <v>48974</v>
      </c>
      <c r="G7" s="134">
        <f t="shared" si="0"/>
        <v>50453</v>
      </c>
      <c r="H7" s="132">
        <f t="shared" si="0"/>
        <v>-12788</v>
      </c>
      <c r="I7" s="132">
        <f t="shared" si="0"/>
        <v>-34240</v>
      </c>
      <c r="J7" s="119">
        <f t="shared" si="0"/>
        <v>-39361</v>
      </c>
    </row>
    <row r="8" spans="2:10" ht="15.75" customHeight="1" x14ac:dyDescent="0.25">
      <c r="D8" s="140" t="s">
        <v>160</v>
      </c>
      <c r="E8" s="133">
        <v>-2523</v>
      </c>
      <c r="F8" s="133">
        <v>-3165</v>
      </c>
      <c r="G8" s="133">
        <v>-6847</v>
      </c>
      <c r="H8" s="133">
        <v>-2841</v>
      </c>
      <c r="I8" s="133">
        <v>-2267</v>
      </c>
      <c r="J8" s="120">
        <v>-2384</v>
      </c>
    </row>
    <row r="9" spans="2:10" ht="15.75" customHeight="1" x14ac:dyDescent="0.25">
      <c r="D9" s="141" t="s">
        <v>164</v>
      </c>
      <c r="E9" s="134">
        <f t="shared" ref="E9:J9" si="1">SUM(E7:E8)</f>
        <v>23736</v>
      </c>
      <c r="F9" s="134">
        <f t="shared" si="1"/>
        <v>45809</v>
      </c>
      <c r="G9" s="134">
        <f t="shared" si="1"/>
        <v>43606</v>
      </c>
      <c r="H9" s="134">
        <f t="shared" si="1"/>
        <v>-15629</v>
      </c>
      <c r="I9" s="134">
        <f t="shared" si="1"/>
        <v>-36507</v>
      </c>
      <c r="J9" s="121">
        <f t="shared" si="1"/>
        <v>-41745</v>
      </c>
    </row>
    <row r="10" spans="2:10" ht="15.75" customHeight="1" x14ac:dyDescent="0.25">
      <c r="D10" s="165" t="s">
        <v>114</v>
      </c>
      <c r="E10" s="148">
        <v>7429</v>
      </c>
      <c r="F10" s="148">
        <v>19955</v>
      </c>
      <c r="G10" s="148">
        <v>27724</v>
      </c>
      <c r="H10" s="148">
        <v>7981</v>
      </c>
      <c r="I10" s="148">
        <v>15534</v>
      </c>
      <c r="J10" s="122">
        <v>21810</v>
      </c>
    </row>
    <row r="11" spans="2:10" ht="15.75" customHeight="1" x14ac:dyDescent="0.25">
      <c r="D11" s="138" t="s">
        <v>161</v>
      </c>
      <c r="E11" s="131">
        <v>903</v>
      </c>
      <c r="F11" s="131">
        <v>1752</v>
      </c>
      <c r="G11" s="131">
        <v>2766</v>
      </c>
      <c r="H11" s="131">
        <v>590</v>
      </c>
      <c r="I11" s="131">
        <v>1090</v>
      </c>
      <c r="J11" s="118">
        <v>2889</v>
      </c>
    </row>
    <row r="12" spans="2:10" ht="15.75" customHeight="1" x14ac:dyDescent="0.25">
      <c r="D12" s="123" t="s">
        <v>80</v>
      </c>
      <c r="E12" s="135">
        <f t="shared" ref="E12:J12" si="2">E9+E10+E11</f>
        <v>32068</v>
      </c>
      <c r="F12" s="135">
        <f t="shared" si="2"/>
        <v>67516</v>
      </c>
      <c r="G12" s="135">
        <f t="shared" si="2"/>
        <v>74096</v>
      </c>
      <c r="H12" s="135">
        <f t="shared" si="2"/>
        <v>-7058</v>
      </c>
      <c r="I12" s="135">
        <f t="shared" si="2"/>
        <v>-19883</v>
      </c>
      <c r="J12" s="124">
        <f t="shared" si="2"/>
        <v>-17046</v>
      </c>
    </row>
    <row r="13" spans="2:10" ht="15.75" customHeight="1" x14ac:dyDescent="0.25">
      <c r="D13" s="125" t="s">
        <v>81</v>
      </c>
      <c r="E13" s="136">
        <v>-8042</v>
      </c>
      <c r="F13" s="136">
        <v>-16841</v>
      </c>
      <c r="G13" s="136">
        <v>-18099</v>
      </c>
      <c r="H13" s="136">
        <v>1767</v>
      </c>
      <c r="I13" s="136">
        <v>4790</v>
      </c>
      <c r="J13" s="126">
        <v>4555</v>
      </c>
    </row>
    <row r="14" spans="2:10" ht="15.75" customHeight="1" x14ac:dyDescent="0.25">
      <c r="D14" s="127" t="s">
        <v>115</v>
      </c>
      <c r="E14" s="137">
        <f t="shared" ref="E14:J14" si="3">+E12+E13</f>
        <v>24026</v>
      </c>
      <c r="F14" s="137">
        <f t="shared" si="3"/>
        <v>50675</v>
      </c>
      <c r="G14" s="137">
        <f t="shared" si="3"/>
        <v>55997</v>
      </c>
      <c r="H14" s="137">
        <f t="shared" si="3"/>
        <v>-5291</v>
      </c>
      <c r="I14" s="137">
        <f t="shared" si="3"/>
        <v>-15093</v>
      </c>
      <c r="J14" s="128">
        <f t="shared" si="3"/>
        <v>-12491</v>
      </c>
    </row>
    <row r="15" spans="2:10" x14ac:dyDescent="0.25">
      <c r="D15" s="142"/>
      <c r="E15" s="130"/>
      <c r="F15" s="130"/>
      <c r="G15" s="130"/>
      <c r="H15" s="130"/>
      <c r="I15" s="130"/>
      <c r="J15" s="129"/>
    </row>
    <row r="16" spans="2:10" x14ac:dyDescent="0.25">
      <c r="D16" s="142"/>
      <c r="E16" s="130"/>
      <c r="F16" s="130"/>
      <c r="G16" s="130"/>
      <c r="H16" s="130"/>
      <c r="I16" s="168"/>
      <c r="J16" s="168" t="s">
        <v>67</v>
      </c>
    </row>
    <row r="17" spans="4:10" x14ac:dyDescent="0.25">
      <c r="D17" s="142"/>
      <c r="E17" s="130"/>
      <c r="F17" s="130"/>
      <c r="G17" s="130"/>
      <c r="H17" s="130"/>
      <c r="I17" s="130"/>
      <c r="J17" s="129"/>
    </row>
    <row r="18" spans="4:10" x14ac:dyDescent="0.25">
      <c r="D18" s="142"/>
      <c r="E18" s="130"/>
      <c r="F18" s="130"/>
      <c r="G18" s="130"/>
      <c r="H18" s="130"/>
      <c r="I18" s="130"/>
      <c r="J18" s="129"/>
    </row>
    <row r="19" spans="4:10" ht="15.75" thickBot="1" x14ac:dyDescent="0.3">
      <c r="D19" s="32"/>
      <c r="E19" s="16" t="s">
        <v>22</v>
      </c>
      <c r="F19" s="16" t="s">
        <v>23</v>
      </c>
      <c r="G19" s="16" t="s">
        <v>24</v>
      </c>
      <c r="H19" s="16" t="s">
        <v>26</v>
      </c>
      <c r="I19" s="16" t="s">
        <v>27</v>
      </c>
      <c r="J19" s="100" t="s">
        <v>165</v>
      </c>
    </row>
    <row r="20" spans="4:10" ht="15.75" thickBot="1" x14ac:dyDescent="0.3">
      <c r="D20" s="88" t="s">
        <v>85</v>
      </c>
      <c r="E20" s="49">
        <v>0.8914379802414929</v>
      </c>
      <c r="F20" s="49">
        <v>0.89627328348678281</v>
      </c>
      <c r="G20" s="49">
        <v>0.93488078277465658</v>
      </c>
      <c r="H20" s="49">
        <v>1.0683494924845733</v>
      </c>
      <c r="I20" s="49">
        <v>1.0790206778024776</v>
      </c>
      <c r="J20" s="102">
        <v>1.0597892519043761</v>
      </c>
    </row>
  </sheetData>
  <hyperlinks>
    <hyperlink ref="B2" location="'Financial Supplement&gt;&gt;&gt;'!A1" display="INDEX" xr:uid="{5590EBE7-25E1-4946-929D-2057A707030B}"/>
  </hyperlinks>
  <pageMargins left="0.7" right="0.7" top="0.75" bottom="0.75" header="0.3" footer="0.3"/>
  <pageSetup paperSize="9" scale="63" orientation="landscape" r:id="rId1"/>
  <ignoredErrors>
    <ignoredError sqref="H8:I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K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39" style="4" customWidth="1"/>
    <col min="5" max="9" width="13.5703125" style="4" customWidth="1"/>
    <col min="10" max="10" width="9.7109375" style="4" customWidth="1"/>
    <col min="11" max="16384" width="10.85546875" style="4"/>
  </cols>
  <sheetData>
    <row r="1" spans="2:11" ht="16.5" customHeight="1" x14ac:dyDescent="0.2"/>
    <row r="2" spans="2:11" ht="18.75" customHeight="1" thickBot="1" x14ac:dyDescent="0.25">
      <c r="B2" s="143" t="s">
        <v>28</v>
      </c>
      <c r="D2" s="19" t="s">
        <v>116</v>
      </c>
      <c r="E2" s="19"/>
      <c r="F2" s="19"/>
      <c r="G2" s="19"/>
      <c r="H2" s="19"/>
      <c r="I2" s="19"/>
      <c r="J2" s="19"/>
      <c r="K2" s="19"/>
    </row>
    <row r="4" spans="2:11" ht="14.25" thickBot="1" x14ac:dyDescent="0.25">
      <c r="D4" s="32"/>
      <c r="E4" s="38" t="s">
        <v>6</v>
      </c>
      <c r="F4" s="38" t="s">
        <v>3</v>
      </c>
      <c r="G4" s="38" t="s">
        <v>4</v>
      </c>
      <c r="H4" s="38" t="s">
        <v>19</v>
      </c>
      <c r="I4" s="38" t="s">
        <v>25</v>
      </c>
      <c r="J4" s="170" t="s">
        <v>165</v>
      </c>
      <c r="K4" s="171"/>
    </row>
    <row r="5" spans="2:11" ht="13.5" x14ac:dyDescent="0.2">
      <c r="D5" s="82" t="s">
        <v>117</v>
      </c>
      <c r="E5" s="73">
        <f t="shared" ref="E5:J5" si="0">E6+E13</f>
        <v>696945.09054</v>
      </c>
      <c r="F5" s="73">
        <f t="shared" si="0"/>
        <v>720797.13546999998</v>
      </c>
      <c r="G5" s="73">
        <f t="shared" si="0"/>
        <v>801209.28558999998</v>
      </c>
      <c r="H5" s="73">
        <f t="shared" si="0"/>
        <v>722005</v>
      </c>
      <c r="I5" s="73">
        <f t="shared" si="0"/>
        <v>618778</v>
      </c>
      <c r="J5" s="156">
        <f t="shared" si="0"/>
        <v>713014.97683000006</v>
      </c>
      <c r="K5" s="50">
        <f>J5/J$22</f>
        <v>0.79398252697213223</v>
      </c>
    </row>
    <row r="6" spans="2:11" ht="13.5" x14ac:dyDescent="0.2">
      <c r="D6" s="90" t="s">
        <v>118</v>
      </c>
      <c r="E6" s="73">
        <f t="shared" ref="E6:J6" si="1">SUM(E7:E12)</f>
        <v>397566.68119000003</v>
      </c>
      <c r="F6" s="73">
        <f t="shared" si="1"/>
        <v>394655.81483999995</v>
      </c>
      <c r="G6" s="73">
        <f t="shared" si="1"/>
        <v>438763.14398999995</v>
      </c>
      <c r="H6" s="73">
        <f t="shared" si="1"/>
        <v>396345</v>
      </c>
      <c r="I6" s="73">
        <f t="shared" si="1"/>
        <v>356496</v>
      </c>
      <c r="J6" s="156">
        <f t="shared" si="1"/>
        <v>387437.1546500001</v>
      </c>
      <c r="K6" s="50">
        <f t="shared" ref="K6:K21" si="2">J6/J$22</f>
        <v>0.43143319718127532</v>
      </c>
    </row>
    <row r="7" spans="2:11" ht="13.5" x14ac:dyDescent="0.2">
      <c r="D7" s="91" t="s">
        <v>119</v>
      </c>
      <c r="E7" s="78">
        <v>263898.88505000004</v>
      </c>
      <c r="F7" s="78">
        <v>247394.05644000001</v>
      </c>
      <c r="G7" s="78">
        <v>216811.94155999995</v>
      </c>
      <c r="H7" s="78">
        <v>184414</v>
      </c>
      <c r="I7" s="78">
        <v>168561</v>
      </c>
      <c r="J7" s="157">
        <v>199025.54250000001</v>
      </c>
      <c r="K7" s="51">
        <f t="shared" si="2"/>
        <v>0.22162620463977425</v>
      </c>
    </row>
    <row r="8" spans="2:11" ht="13.5" x14ac:dyDescent="0.2">
      <c r="D8" s="91" t="s">
        <v>120</v>
      </c>
      <c r="E8" s="78">
        <v>80202.5</v>
      </c>
      <c r="F8" s="78">
        <v>91853.940789999993</v>
      </c>
      <c r="G8" s="78">
        <v>157271.44813</v>
      </c>
      <c r="H8" s="78">
        <v>150362</v>
      </c>
      <c r="I8" s="78">
        <v>132418</v>
      </c>
      <c r="J8" s="157">
        <v>113162.40842000001</v>
      </c>
      <c r="K8" s="51">
        <f t="shared" si="2"/>
        <v>0.12601274575609125</v>
      </c>
    </row>
    <row r="9" spans="2:11" ht="13.5" x14ac:dyDescent="0.2">
      <c r="D9" s="91" t="s">
        <v>5</v>
      </c>
      <c r="E9" s="78">
        <v>47496.68894</v>
      </c>
      <c r="F9" s="78">
        <v>48972.218159999997</v>
      </c>
      <c r="G9" s="78">
        <v>57670.556810000002</v>
      </c>
      <c r="H9" s="78">
        <v>47717</v>
      </c>
      <c r="I9" s="78">
        <v>44593</v>
      </c>
      <c r="J9" s="157">
        <v>14293.683809999999</v>
      </c>
      <c r="K9" s="51">
        <f t="shared" si="2"/>
        <v>1.5916825817124895E-2</v>
      </c>
    </row>
    <row r="10" spans="2:11" ht="13.5" x14ac:dyDescent="0.2">
      <c r="D10" s="91" t="s">
        <v>121</v>
      </c>
      <c r="E10" s="78">
        <v>4214.27945</v>
      </c>
      <c r="F10" s="78">
        <v>4648.5994499999997</v>
      </c>
      <c r="G10" s="81">
        <v>0</v>
      </c>
      <c r="H10" s="81">
        <v>0</v>
      </c>
      <c r="I10" s="81">
        <v>0</v>
      </c>
      <c r="J10" s="157">
        <v>0</v>
      </c>
      <c r="K10" s="51">
        <f t="shared" si="2"/>
        <v>0</v>
      </c>
    </row>
    <row r="11" spans="2:11" ht="13.5" x14ac:dyDescent="0.2">
      <c r="D11" s="91" t="s">
        <v>122</v>
      </c>
      <c r="E11" s="78">
        <v>1754.3277499999999</v>
      </c>
      <c r="F11" s="78">
        <v>1787</v>
      </c>
      <c r="G11" s="78">
        <v>1629.18226</v>
      </c>
      <c r="H11" s="78">
        <v>2965</v>
      </c>
      <c r="I11" s="78">
        <v>989</v>
      </c>
      <c r="J11" s="157">
        <v>1026.3745899999999</v>
      </c>
      <c r="K11" s="51">
        <f t="shared" si="2"/>
        <v>1.1429261895889789E-3</v>
      </c>
    </row>
    <row r="12" spans="2:11" ht="13.5" x14ac:dyDescent="0.2">
      <c r="D12" s="91" t="s">
        <v>35</v>
      </c>
      <c r="E12" s="81">
        <v>0</v>
      </c>
      <c r="F12" s="81">
        <v>0</v>
      </c>
      <c r="G12" s="78">
        <v>5380.01523</v>
      </c>
      <c r="H12" s="78">
        <v>10887</v>
      </c>
      <c r="I12" s="78">
        <v>9935</v>
      </c>
      <c r="J12" s="157">
        <v>59929.145330000043</v>
      </c>
      <c r="K12" s="51">
        <f t="shared" si="2"/>
        <v>6.6734494778695863E-2</v>
      </c>
    </row>
    <row r="13" spans="2:11" ht="13.5" x14ac:dyDescent="0.2">
      <c r="D13" s="90" t="s">
        <v>123</v>
      </c>
      <c r="E13" s="73">
        <f t="shared" ref="E13:J13" si="3">SUM(E14:E17)</f>
        <v>299378.40934999997</v>
      </c>
      <c r="F13" s="73">
        <f t="shared" si="3"/>
        <v>326141.32063000003</v>
      </c>
      <c r="G13" s="73">
        <f t="shared" si="3"/>
        <v>362446.14160000003</v>
      </c>
      <c r="H13" s="73">
        <f t="shared" si="3"/>
        <v>325660</v>
      </c>
      <c r="I13" s="73">
        <f t="shared" si="3"/>
        <v>262282</v>
      </c>
      <c r="J13" s="156">
        <f t="shared" si="3"/>
        <v>325577.82218000002</v>
      </c>
      <c r="K13" s="50">
        <f t="shared" si="2"/>
        <v>0.36254932979085697</v>
      </c>
    </row>
    <row r="14" spans="2:11" ht="13.5" x14ac:dyDescent="0.2">
      <c r="D14" s="91" t="s">
        <v>119</v>
      </c>
      <c r="E14" s="78">
        <v>137460.92869</v>
      </c>
      <c r="F14" s="78">
        <v>169933.97990999999</v>
      </c>
      <c r="G14" s="78">
        <v>199091</v>
      </c>
      <c r="H14" s="78">
        <v>161222</v>
      </c>
      <c r="I14" s="78">
        <v>132278</v>
      </c>
      <c r="J14" s="157">
        <v>153133.76962000004</v>
      </c>
      <c r="K14" s="51">
        <f t="shared" si="2"/>
        <v>0.17052311847391233</v>
      </c>
    </row>
    <row r="15" spans="2:11" ht="13.5" x14ac:dyDescent="0.2">
      <c r="D15" s="91" t="s">
        <v>124</v>
      </c>
      <c r="E15" s="78">
        <v>130336.4</v>
      </c>
      <c r="F15" s="78">
        <v>123472.05232</v>
      </c>
      <c r="G15" s="78">
        <v>137084.19157</v>
      </c>
      <c r="H15" s="78">
        <v>112100</v>
      </c>
      <c r="I15" s="78">
        <v>89057</v>
      </c>
      <c r="J15" s="157">
        <v>106364.00139000002</v>
      </c>
      <c r="K15" s="51">
        <f t="shared" si="2"/>
        <v>0.11844233479913956</v>
      </c>
    </row>
    <row r="16" spans="2:11" ht="13.5" x14ac:dyDescent="0.2">
      <c r="D16" s="91" t="s">
        <v>125</v>
      </c>
      <c r="E16" s="81">
        <v>0</v>
      </c>
      <c r="F16" s="81">
        <v>0</v>
      </c>
      <c r="G16" s="81">
        <v>0</v>
      </c>
      <c r="H16" s="78">
        <v>22386</v>
      </c>
      <c r="I16" s="78">
        <v>13527</v>
      </c>
      <c r="J16" s="157">
        <v>19761.505829999998</v>
      </c>
      <c r="K16" s="51">
        <f t="shared" si="2"/>
        <v>2.2005555066228102E-2</v>
      </c>
    </row>
    <row r="17" spans="4:11" ht="13.5" x14ac:dyDescent="0.2">
      <c r="D17" s="91" t="s">
        <v>126</v>
      </c>
      <c r="E17" s="78">
        <v>31581.080659999996</v>
      </c>
      <c r="F17" s="78">
        <v>32735.288400000001</v>
      </c>
      <c r="G17" s="78">
        <v>26270.950030000004</v>
      </c>
      <c r="H17" s="78">
        <v>29952</v>
      </c>
      <c r="I17" s="78">
        <v>27420</v>
      </c>
      <c r="J17" s="157">
        <v>46318.545339999975</v>
      </c>
      <c r="K17" s="51">
        <f t="shared" si="2"/>
        <v>5.1578321451576981E-2</v>
      </c>
    </row>
    <row r="18" spans="4:11" ht="13.5" x14ac:dyDescent="0.2">
      <c r="D18" s="82" t="s">
        <v>127</v>
      </c>
      <c r="E18" s="73">
        <v>45094</v>
      </c>
      <c r="F18" s="73">
        <v>59231</v>
      </c>
      <c r="G18" s="73">
        <v>60536</v>
      </c>
      <c r="H18" s="73">
        <v>75237</v>
      </c>
      <c r="I18" s="73">
        <v>72074</v>
      </c>
      <c r="J18" s="156">
        <v>64253.599369999996</v>
      </c>
      <c r="K18" s="50">
        <f t="shared" si="2"/>
        <v>7.1550019077665311E-2</v>
      </c>
    </row>
    <row r="19" spans="4:11" ht="13.5" x14ac:dyDescent="0.2">
      <c r="D19" s="91" t="s">
        <v>128</v>
      </c>
      <c r="E19" s="78">
        <v>10300</v>
      </c>
      <c r="F19" s="78">
        <v>19416</v>
      </c>
      <c r="G19" s="78">
        <v>19795</v>
      </c>
      <c r="H19" s="78">
        <v>19654</v>
      </c>
      <c r="I19" s="78">
        <v>30340</v>
      </c>
      <c r="J19" s="157">
        <v>28543.549849999999</v>
      </c>
      <c r="K19" s="51">
        <f t="shared" si="2"/>
        <v>3.1784858067660827E-2</v>
      </c>
    </row>
    <row r="20" spans="4:11" ht="13.5" x14ac:dyDescent="0.2">
      <c r="D20" s="82" t="s">
        <v>129</v>
      </c>
      <c r="E20" s="73">
        <v>43669</v>
      </c>
      <c r="F20" s="73">
        <v>57457</v>
      </c>
      <c r="G20" s="73">
        <v>65319</v>
      </c>
      <c r="H20" s="73">
        <v>78726</v>
      </c>
      <c r="I20" s="73">
        <v>48812</v>
      </c>
      <c r="J20" s="156">
        <v>55360.935159999994</v>
      </c>
      <c r="K20" s="50">
        <f t="shared" si="2"/>
        <v>6.1647534234553998E-2</v>
      </c>
    </row>
    <row r="21" spans="4:11" ht="14.25" thickBot="1" x14ac:dyDescent="0.25">
      <c r="D21" s="82" t="s">
        <v>130</v>
      </c>
      <c r="E21" s="73">
        <v>67458</v>
      </c>
      <c r="F21" s="73">
        <v>66670</v>
      </c>
      <c r="G21" s="73">
        <v>65947.506580000001</v>
      </c>
      <c r="H21" s="73">
        <v>65457</v>
      </c>
      <c r="I21" s="73">
        <v>64676</v>
      </c>
      <c r="J21" s="158">
        <v>65394</v>
      </c>
      <c r="K21" s="50">
        <f t="shared" si="2"/>
        <v>7.2819919715648551E-2</v>
      </c>
    </row>
    <row r="22" spans="4:11" ht="13.5" x14ac:dyDescent="0.2">
      <c r="D22" s="92" t="s">
        <v>131</v>
      </c>
      <c r="E22" s="79">
        <f t="shared" ref="E22:G22" si="4">E5+E18+E20+E21</f>
        <v>853166.09054</v>
      </c>
      <c r="F22" s="79">
        <f t="shared" si="4"/>
        <v>904155.13546999998</v>
      </c>
      <c r="G22" s="79">
        <f t="shared" si="4"/>
        <v>993011.79217000003</v>
      </c>
      <c r="H22" s="79">
        <f>H5+H18+H20+H21</f>
        <v>941425</v>
      </c>
      <c r="I22" s="79">
        <f t="shared" ref="I22:J22" si="5">I5+I18+I20+I21</f>
        <v>804340</v>
      </c>
      <c r="J22" s="159">
        <f t="shared" si="5"/>
        <v>898023.51136</v>
      </c>
      <c r="K22" s="70">
        <f>K5+K18+K20+K21</f>
        <v>1.0000000000000002</v>
      </c>
    </row>
    <row r="23" spans="4:11" ht="14.25" thickBot="1" x14ac:dyDescent="0.25">
      <c r="D23" s="93" t="s">
        <v>132</v>
      </c>
      <c r="E23" s="73">
        <v>166776</v>
      </c>
      <c r="F23" s="73">
        <v>144937</v>
      </c>
      <c r="G23" s="73">
        <v>162500</v>
      </c>
      <c r="H23" s="73">
        <v>115788</v>
      </c>
      <c r="I23" s="73">
        <v>51661</v>
      </c>
      <c r="J23" s="158">
        <v>25924</v>
      </c>
      <c r="K23" s="71" t="s">
        <v>7</v>
      </c>
    </row>
    <row r="24" spans="4:11" ht="14.25" thickBot="1" x14ac:dyDescent="0.25">
      <c r="D24" s="84" t="s">
        <v>1</v>
      </c>
      <c r="E24" s="80">
        <f t="shared" ref="E24:H24" si="6">E22+E23</f>
        <v>1019942.09054</v>
      </c>
      <c r="F24" s="80">
        <f t="shared" si="6"/>
        <v>1049092.1354700001</v>
      </c>
      <c r="G24" s="80">
        <f t="shared" si="6"/>
        <v>1155511.79217</v>
      </c>
      <c r="H24" s="80">
        <f t="shared" si="6"/>
        <v>1057213</v>
      </c>
      <c r="I24" s="80">
        <f>I22+I23</f>
        <v>856001</v>
      </c>
      <c r="J24" s="160">
        <f>J22+J23</f>
        <v>923947.51136</v>
      </c>
      <c r="K24" s="52" t="s">
        <v>7</v>
      </c>
    </row>
    <row r="25" spans="4:11" ht="9" customHeight="1" x14ac:dyDescent="0.2">
      <c r="D25" s="26"/>
      <c r="E25" s="34"/>
      <c r="F25" s="34"/>
      <c r="G25" s="34"/>
      <c r="H25" s="34"/>
      <c r="I25" s="34"/>
      <c r="J25" s="73"/>
    </row>
    <row r="26" spans="4:11" ht="13.5" x14ac:dyDescent="0.2">
      <c r="D26" s="28"/>
      <c r="E26" s="28"/>
      <c r="F26" s="28"/>
      <c r="G26" s="28"/>
      <c r="H26" s="28"/>
      <c r="I26" s="28"/>
      <c r="J26" s="86"/>
      <c r="K26" s="86" t="s">
        <v>67</v>
      </c>
    </row>
    <row r="29" spans="4:11" ht="14.25" thickBot="1" x14ac:dyDescent="0.25">
      <c r="D29" s="55" t="s">
        <v>117</v>
      </c>
      <c r="E29" s="38" t="s">
        <v>6</v>
      </c>
      <c r="F29" s="38" t="s">
        <v>3</v>
      </c>
      <c r="G29" s="38" t="s">
        <v>4</v>
      </c>
      <c r="H29" s="38" t="s">
        <v>19</v>
      </c>
      <c r="I29" s="38" t="s">
        <v>25</v>
      </c>
      <c r="J29" s="170" t="s">
        <v>165</v>
      </c>
      <c r="K29" s="171"/>
    </row>
    <row r="30" spans="4:11" ht="13.5" x14ac:dyDescent="0.2">
      <c r="D30" s="94" t="s">
        <v>8</v>
      </c>
      <c r="E30" s="78">
        <v>1754.3277499999999</v>
      </c>
      <c r="F30" s="78">
        <v>1787.1552300000001</v>
      </c>
      <c r="G30" s="78">
        <v>3072.0408299999999</v>
      </c>
      <c r="H30" s="78">
        <v>6342</v>
      </c>
      <c r="I30" s="78">
        <v>13304</v>
      </c>
      <c r="J30" s="157">
        <v>15367.188040000001</v>
      </c>
      <c r="K30" s="51">
        <f>J30/$J$36</f>
        <v>2.1552405684830248E-2</v>
      </c>
    </row>
    <row r="31" spans="4:11" ht="13.5" x14ac:dyDescent="0.2">
      <c r="D31" s="94" t="s">
        <v>9</v>
      </c>
      <c r="E31" s="78">
        <v>11947.257000000001</v>
      </c>
      <c r="F31" s="78">
        <v>3784.2071800000003</v>
      </c>
      <c r="G31" s="78">
        <v>7381.8541700000005</v>
      </c>
      <c r="H31" s="78">
        <v>10093</v>
      </c>
      <c r="I31" s="78">
        <v>11264</v>
      </c>
      <c r="J31" s="157">
        <v>77303.228279999981</v>
      </c>
      <c r="K31" s="51">
        <f t="shared" ref="K31:K35" si="7">J31/$J$36</f>
        <v>0.10841739765927937</v>
      </c>
    </row>
    <row r="32" spans="4:11" ht="13.5" x14ac:dyDescent="0.2">
      <c r="D32" s="94" t="s">
        <v>10</v>
      </c>
      <c r="E32" s="78">
        <v>317688.88505000004</v>
      </c>
      <c r="F32" s="78">
        <v>301027.18516999995</v>
      </c>
      <c r="G32" s="78">
        <v>353119.78262999991</v>
      </c>
      <c r="H32" s="78">
        <v>296736</v>
      </c>
      <c r="I32" s="78">
        <v>271885</v>
      </c>
      <c r="J32" s="157">
        <v>335579.96468000009</v>
      </c>
      <c r="K32" s="51">
        <f t="shared" si="7"/>
        <v>0.470649250836158</v>
      </c>
    </row>
    <row r="33" spans="4:11" ht="13.5" x14ac:dyDescent="0.2">
      <c r="D33" s="94" t="s">
        <v>11</v>
      </c>
      <c r="E33" s="78">
        <v>259911.57834000001</v>
      </c>
      <c r="F33" s="78">
        <v>354378.54846999998</v>
      </c>
      <c r="G33" s="78">
        <v>380743.04191000003</v>
      </c>
      <c r="H33" s="78">
        <v>363123</v>
      </c>
      <c r="I33" s="78">
        <v>301197</v>
      </c>
      <c r="J33" s="157">
        <v>266049.32759</v>
      </c>
      <c r="K33" s="51">
        <f t="shared" si="7"/>
        <v>0.37313287411273072</v>
      </c>
    </row>
    <row r="34" spans="4:11" ht="13.5" x14ac:dyDescent="0.2">
      <c r="D34" s="94" t="s">
        <v>133</v>
      </c>
      <c r="E34" s="78">
        <v>88362</v>
      </c>
      <c r="F34" s="78">
        <v>21373.307949999999</v>
      </c>
      <c r="G34" s="78">
        <v>26532.45349</v>
      </c>
      <c r="H34" s="78">
        <v>27990</v>
      </c>
      <c r="I34" s="78">
        <v>10359</v>
      </c>
      <c r="J34" s="157">
        <v>12772.19838</v>
      </c>
      <c r="K34" s="51">
        <f t="shared" si="7"/>
        <v>1.7912945443003224E-2</v>
      </c>
    </row>
    <row r="35" spans="4:11" ht="14.25" thickBot="1" x14ac:dyDescent="0.25">
      <c r="D35" s="56" t="s">
        <v>134</v>
      </c>
      <c r="E35" s="78">
        <v>17281</v>
      </c>
      <c r="F35" s="78">
        <v>38446.88670000001</v>
      </c>
      <c r="G35" s="78">
        <v>30360</v>
      </c>
      <c r="H35" s="78">
        <v>17721</v>
      </c>
      <c r="I35" s="78">
        <v>10769</v>
      </c>
      <c r="J35" s="157">
        <v>5943.0698600000005</v>
      </c>
      <c r="K35" s="51">
        <f t="shared" si="7"/>
        <v>8.3351262639984793E-3</v>
      </c>
    </row>
    <row r="36" spans="4:11" ht="14.25" thickBot="1" x14ac:dyDescent="0.25">
      <c r="D36" s="84" t="s">
        <v>1</v>
      </c>
      <c r="E36" s="80">
        <f>SUM(E30:E35)</f>
        <v>696945.04814000009</v>
      </c>
      <c r="F36" s="80">
        <f t="shared" ref="F36:H36" si="8">SUM(F30:F35)</f>
        <v>720797.29070000001</v>
      </c>
      <c r="G36" s="80">
        <f t="shared" si="8"/>
        <v>801209.17302999995</v>
      </c>
      <c r="H36" s="80">
        <f t="shared" si="8"/>
        <v>722005</v>
      </c>
      <c r="I36" s="80">
        <f>SUM(I30:I35)</f>
        <v>618778</v>
      </c>
      <c r="J36" s="160">
        <f>SUM(J30:J35)</f>
        <v>713014.97683000006</v>
      </c>
      <c r="K36" s="52">
        <f>SUM(K30:K35)</f>
        <v>1</v>
      </c>
    </row>
    <row r="37" spans="4:11" ht="9" customHeight="1" x14ac:dyDescent="0.2">
      <c r="D37" s="26"/>
      <c r="E37" s="34"/>
      <c r="F37" s="34"/>
      <c r="G37" s="34"/>
      <c r="H37" s="34"/>
      <c r="I37" s="34"/>
      <c r="J37" s="73"/>
    </row>
    <row r="38" spans="4:11" ht="13.5" x14ac:dyDescent="0.2">
      <c r="J38" s="86"/>
      <c r="K38" s="86" t="s">
        <v>67</v>
      </c>
    </row>
    <row r="41" spans="4:11" ht="14.25" thickBot="1" x14ac:dyDescent="0.25">
      <c r="D41" s="55" t="s">
        <v>127</v>
      </c>
      <c r="E41" s="38" t="s">
        <v>6</v>
      </c>
      <c r="F41" s="38" t="s">
        <v>3</v>
      </c>
      <c r="G41" s="38" t="s">
        <v>4</v>
      </c>
      <c r="H41" s="38" t="s">
        <v>19</v>
      </c>
      <c r="I41" s="38" t="s">
        <v>25</v>
      </c>
      <c r="J41" s="170" t="s">
        <v>165</v>
      </c>
      <c r="K41" s="171"/>
    </row>
    <row r="42" spans="4:11" ht="13.5" x14ac:dyDescent="0.2">
      <c r="D42" s="94" t="s">
        <v>135</v>
      </c>
      <c r="E42" s="78">
        <v>10300</v>
      </c>
      <c r="F42" s="78">
        <v>32761.487000000001</v>
      </c>
      <c r="G42" s="78">
        <v>20803</v>
      </c>
      <c r="H42" s="78">
        <v>43352</v>
      </c>
      <c r="I42" s="78">
        <v>46527</v>
      </c>
      <c r="J42" s="157">
        <v>44419.620519999997</v>
      </c>
      <c r="K42" s="51">
        <f>J42/$J$53</f>
        <v>0.69131723289480829</v>
      </c>
    </row>
    <row r="43" spans="4:11" ht="13.5" x14ac:dyDescent="0.2">
      <c r="D43" s="95" t="s">
        <v>128</v>
      </c>
      <c r="E43" s="78">
        <v>10300</v>
      </c>
      <c r="F43" s="78">
        <v>19416.487000000001</v>
      </c>
      <c r="G43" s="78">
        <v>19795</v>
      </c>
      <c r="H43" s="78">
        <v>19654</v>
      </c>
      <c r="I43" s="78">
        <v>30340</v>
      </c>
      <c r="J43" s="157">
        <v>28543.549849999999</v>
      </c>
      <c r="K43" s="51">
        <f t="shared" ref="K43:K52" si="9">J43/$J$53</f>
        <v>0.44423269871052512</v>
      </c>
    </row>
    <row r="44" spans="4:11" ht="13.5" x14ac:dyDescent="0.2">
      <c r="D44" s="94" t="s">
        <v>136</v>
      </c>
      <c r="E44" s="78">
        <v>9142</v>
      </c>
      <c r="F44" s="78">
        <v>5850.9550600000002</v>
      </c>
      <c r="G44" s="78">
        <v>18320</v>
      </c>
      <c r="H44" s="78">
        <v>5778</v>
      </c>
      <c r="I44" s="78">
        <v>5355</v>
      </c>
      <c r="J44" s="157">
        <v>7600.8843099999985</v>
      </c>
      <c r="K44" s="51">
        <f t="shared" si="9"/>
        <v>0.11829507427639689</v>
      </c>
    </row>
    <row r="45" spans="4:11" ht="13.5" x14ac:dyDescent="0.2">
      <c r="D45" s="94" t="s">
        <v>137</v>
      </c>
      <c r="E45" s="78">
        <v>5385</v>
      </c>
      <c r="F45" s="78">
        <v>5567.7613636297901</v>
      </c>
      <c r="G45" s="78">
        <v>5304</v>
      </c>
      <c r="H45" s="78">
        <v>5461</v>
      </c>
      <c r="I45" s="78">
        <v>3350</v>
      </c>
      <c r="J45" s="157">
        <v>2254.3789099999999</v>
      </c>
      <c r="K45" s="51">
        <f t="shared" si="9"/>
        <v>3.5085643949972538E-2</v>
      </c>
    </row>
    <row r="46" spans="4:11" ht="13.5" x14ac:dyDescent="0.2">
      <c r="D46" s="94" t="s">
        <v>12</v>
      </c>
      <c r="E46" s="78">
        <v>4490</v>
      </c>
      <c r="F46" s="78">
        <v>4964.6156432375501</v>
      </c>
      <c r="G46" s="78">
        <v>6155</v>
      </c>
      <c r="H46" s="78">
        <v>10515</v>
      </c>
      <c r="I46" s="78">
        <v>6466</v>
      </c>
      <c r="J46" s="157">
        <v>1720.7289700000001</v>
      </c>
      <c r="K46" s="51">
        <f t="shared" si="9"/>
        <v>2.6780273585784647E-2</v>
      </c>
    </row>
    <row r="47" spans="4:11" ht="13.5" x14ac:dyDescent="0.2">
      <c r="D47" s="94" t="s">
        <v>138</v>
      </c>
      <c r="E47" s="78">
        <v>1336</v>
      </c>
      <c r="F47" s="78">
        <v>3889.5391</v>
      </c>
      <c r="G47" s="78">
        <v>1302</v>
      </c>
      <c r="H47" s="78">
        <v>1410</v>
      </c>
      <c r="I47" s="78">
        <v>2716</v>
      </c>
      <c r="J47" s="157">
        <v>1515.2437500000001</v>
      </c>
      <c r="K47" s="51">
        <f t="shared" si="9"/>
        <v>2.3582239203045599E-2</v>
      </c>
    </row>
    <row r="48" spans="4:11" ht="13.5" x14ac:dyDescent="0.2">
      <c r="D48" s="94" t="s">
        <v>139</v>
      </c>
      <c r="E48" s="78">
        <v>4544</v>
      </c>
      <c r="F48" s="78">
        <v>3702.924</v>
      </c>
      <c r="G48" s="78">
        <v>3394</v>
      </c>
      <c r="H48" s="81">
        <v>0</v>
      </c>
      <c r="I48" s="81">
        <v>0</v>
      </c>
      <c r="J48" s="157">
        <v>0</v>
      </c>
      <c r="K48" s="51">
        <f t="shared" si="9"/>
        <v>0</v>
      </c>
    </row>
    <row r="49" spans="4:11" ht="13.5" x14ac:dyDescent="0.2">
      <c r="D49" s="94" t="s">
        <v>140</v>
      </c>
      <c r="E49" s="78">
        <v>3986</v>
      </c>
      <c r="F49" s="78">
        <v>1169.0634</v>
      </c>
      <c r="G49" s="81">
        <v>0</v>
      </c>
      <c r="H49" s="81">
        <v>1454</v>
      </c>
      <c r="I49" s="81">
        <v>1833</v>
      </c>
      <c r="J49" s="157">
        <v>1171.70929</v>
      </c>
      <c r="K49" s="51">
        <f t="shared" si="9"/>
        <v>1.8235698878949821E-2</v>
      </c>
    </row>
    <row r="50" spans="4:11" ht="13.5" x14ac:dyDescent="0.2">
      <c r="D50" s="94" t="s">
        <v>141</v>
      </c>
      <c r="E50" s="78">
        <v>4202</v>
      </c>
      <c r="F50" s="78">
        <v>1159.7223603899999</v>
      </c>
      <c r="G50" s="78">
        <v>3612</v>
      </c>
      <c r="H50" s="78">
        <v>5293</v>
      </c>
      <c r="I50" s="78">
        <v>3084</v>
      </c>
      <c r="J50" s="157">
        <v>2596.5971400000003</v>
      </c>
      <c r="K50" s="51">
        <f t="shared" si="9"/>
        <v>4.0411699351621866E-2</v>
      </c>
    </row>
    <row r="51" spans="4:11" ht="13.5" x14ac:dyDescent="0.2">
      <c r="D51" s="94" t="s">
        <v>142</v>
      </c>
      <c r="E51" s="78">
        <v>1709</v>
      </c>
      <c r="F51" s="78">
        <v>164.73599999999999</v>
      </c>
      <c r="G51" s="78">
        <v>1137</v>
      </c>
      <c r="H51" s="78">
        <v>1333</v>
      </c>
      <c r="I51" s="78">
        <v>2223</v>
      </c>
      <c r="J51" s="157">
        <v>2096.5140000000001</v>
      </c>
      <c r="K51" s="51">
        <f t="shared" si="9"/>
        <v>3.2628740188193443E-2</v>
      </c>
    </row>
    <row r="52" spans="4:11" ht="14.25" thickBot="1" x14ac:dyDescent="0.25">
      <c r="D52" s="56" t="s">
        <v>143</v>
      </c>
      <c r="E52" s="81">
        <v>0</v>
      </c>
      <c r="F52" s="81">
        <v>0</v>
      </c>
      <c r="G52" s="78">
        <v>509</v>
      </c>
      <c r="H52" s="78">
        <v>641</v>
      </c>
      <c r="I52" s="78">
        <v>520</v>
      </c>
      <c r="J52" s="157">
        <v>877.92247999999995</v>
      </c>
      <c r="K52" s="51">
        <f t="shared" si="9"/>
        <v>1.3663397671226834E-2</v>
      </c>
    </row>
    <row r="53" spans="4:11" ht="14.25" thickBot="1" x14ac:dyDescent="0.25">
      <c r="D53" s="84" t="s">
        <v>1</v>
      </c>
      <c r="E53" s="80">
        <f t="shared" ref="E53" si="10">SUM(E42,E44:E52)</f>
        <v>45094</v>
      </c>
      <c r="F53" s="80">
        <f>SUM(F42,F44:F52)</f>
        <v>59230.803927257337</v>
      </c>
      <c r="G53" s="80">
        <f t="shared" ref="G53:H53" si="11">SUM(G42,G44:G52)</f>
        <v>60536</v>
      </c>
      <c r="H53" s="80">
        <f t="shared" si="11"/>
        <v>75237</v>
      </c>
      <c r="I53" s="80">
        <f t="shared" ref="I53:K53" si="12">SUM(I42,I44:I52)</f>
        <v>72074</v>
      </c>
      <c r="J53" s="160">
        <f t="shared" si="12"/>
        <v>64253.599370000004</v>
      </c>
      <c r="K53" s="52">
        <f t="shared" si="12"/>
        <v>0.99999999999999967</v>
      </c>
    </row>
    <row r="54" spans="4:11" ht="9" customHeight="1" x14ac:dyDescent="0.2">
      <c r="D54" s="26"/>
      <c r="E54" s="34"/>
      <c r="F54" s="34"/>
      <c r="G54" s="34"/>
      <c r="H54" s="34"/>
      <c r="I54" s="34"/>
      <c r="J54" s="73"/>
    </row>
    <row r="55" spans="4:11" ht="13.5" x14ac:dyDescent="0.2">
      <c r="J55" s="86"/>
      <c r="K55" s="86" t="s">
        <v>67</v>
      </c>
    </row>
  </sheetData>
  <mergeCells count="3">
    <mergeCell ref="J4:K4"/>
    <mergeCell ref="J29:K29"/>
    <mergeCell ref="J41:K41"/>
  </mergeCells>
  <hyperlinks>
    <hyperlink ref="B2" location="'Financial Supplement&gt;&gt;&gt;'!A1" display="INDEX" xr:uid="{410835F6-E64C-4A33-9F12-26E1F46BCCB5}"/>
  </hyperlinks>
  <pageMargins left="0.7" right="0.7" top="0.75" bottom="0.75" header="0.3" footer="0.3"/>
  <pageSetup paperSize="9" scale="79" orientation="portrait" r:id="rId1"/>
  <ignoredErrors>
    <ignoredError sqref="I13:J13 E13:H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J30"/>
  <sheetViews>
    <sheetView showGridLines="0" zoomScaleNormal="100" workbookViewId="0"/>
  </sheetViews>
  <sheetFormatPr baseColWidth="10" defaultColWidth="11.42578125" defaultRowHeight="13.5" x14ac:dyDescent="0.25"/>
  <cols>
    <col min="1" max="1" width="1.5703125" style="57" customWidth="1"/>
    <col min="2" max="2" width="10.7109375" style="57" customWidth="1"/>
    <col min="3" max="3" width="1.5703125" style="57" customWidth="1"/>
    <col min="4" max="4" width="44.85546875" style="57" bestFit="1" customWidth="1"/>
    <col min="5" max="10" width="13.42578125" style="57" customWidth="1"/>
    <col min="11" max="16384" width="11.42578125" style="57"/>
  </cols>
  <sheetData>
    <row r="1" spans="2:10" ht="16.5" customHeight="1" x14ac:dyDescent="0.25"/>
    <row r="2" spans="2:10" ht="18.75" customHeight="1" thickBot="1" x14ac:dyDescent="0.3">
      <c r="B2" s="143" t="s">
        <v>28</v>
      </c>
      <c r="D2" s="19" t="s">
        <v>144</v>
      </c>
      <c r="E2" s="19"/>
      <c r="F2" s="19"/>
      <c r="G2" s="19"/>
      <c r="H2" s="19"/>
      <c r="I2" s="19"/>
      <c r="J2" s="19"/>
    </row>
    <row r="4" spans="2:10" ht="16.5" customHeight="1" thickBot="1" x14ac:dyDescent="0.3">
      <c r="D4" s="15"/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165</v>
      </c>
    </row>
    <row r="5" spans="2:10" x14ac:dyDescent="0.25">
      <c r="D5" s="58" t="s">
        <v>145</v>
      </c>
      <c r="E5" s="59">
        <v>167878</v>
      </c>
      <c r="F5" s="59">
        <v>161007</v>
      </c>
      <c r="G5" s="59">
        <v>161004</v>
      </c>
      <c r="H5" s="59">
        <v>171657</v>
      </c>
      <c r="I5" s="59">
        <v>172651</v>
      </c>
      <c r="J5" s="31">
        <v>183035.37936072637</v>
      </c>
    </row>
    <row r="6" spans="2:10" x14ac:dyDescent="0.25">
      <c r="D6" s="58" t="s">
        <v>146</v>
      </c>
      <c r="E6" s="59">
        <v>94357</v>
      </c>
      <c r="F6" s="59">
        <v>104548</v>
      </c>
      <c r="G6" s="59">
        <v>113510</v>
      </c>
      <c r="H6" s="59">
        <v>132271</v>
      </c>
      <c r="I6" s="59">
        <v>91899</v>
      </c>
      <c r="J6" s="31">
        <v>90237.713209879119</v>
      </c>
    </row>
    <row r="7" spans="2:10" x14ac:dyDescent="0.25">
      <c r="D7" s="58" t="s">
        <v>147</v>
      </c>
      <c r="E7" s="59">
        <v>15833</v>
      </c>
      <c r="F7" s="59">
        <v>15886</v>
      </c>
      <c r="G7" s="59">
        <v>15291</v>
      </c>
      <c r="H7" s="59">
        <v>13086</v>
      </c>
      <c r="I7" s="59">
        <v>7027</v>
      </c>
      <c r="J7" s="31">
        <v>5692.5006126364788</v>
      </c>
    </row>
    <row r="8" spans="2:10" x14ac:dyDescent="0.25">
      <c r="D8" s="58" t="s">
        <v>148</v>
      </c>
      <c r="E8" s="59">
        <v>1436</v>
      </c>
      <c r="F8" s="59">
        <v>2233</v>
      </c>
      <c r="G8" s="59">
        <v>2778</v>
      </c>
      <c r="H8" s="59">
        <v>3134</v>
      </c>
      <c r="I8" s="59">
        <v>3142</v>
      </c>
      <c r="J8" s="31">
        <v>3470.8431310914448</v>
      </c>
    </row>
    <row r="9" spans="2:10" x14ac:dyDescent="0.25">
      <c r="D9" s="58" t="s">
        <v>149</v>
      </c>
      <c r="E9" s="60">
        <v>-58725</v>
      </c>
      <c r="F9" s="60">
        <v>-62201</v>
      </c>
      <c r="G9" s="60">
        <v>-65218</v>
      </c>
      <c r="H9" s="60">
        <f>H10-SUM(H5:H8)</f>
        <v>-71482</v>
      </c>
      <c r="I9" s="60">
        <f>I10-SUM(I5:I8)</f>
        <v>-55772</v>
      </c>
      <c r="J9" s="31">
        <f>J10-SUM(J5:J8)</f>
        <v>-55692.437886124942</v>
      </c>
    </row>
    <row r="10" spans="2:10" x14ac:dyDescent="0.25">
      <c r="D10" s="61" t="s">
        <v>150</v>
      </c>
      <c r="E10" s="62">
        <v>220779</v>
      </c>
      <c r="F10" s="62">
        <v>221473</v>
      </c>
      <c r="G10" s="62">
        <v>227365</v>
      </c>
      <c r="H10" s="62">
        <v>248666</v>
      </c>
      <c r="I10" s="62">
        <v>218947</v>
      </c>
      <c r="J10" s="30">
        <v>226743.99842820846</v>
      </c>
    </row>
    <row r="11" spans="2:10" x14ac:dyDescent="0.25">
      <c r="D11" s="58" t="s">
        <v>151</v>
      </c>
      <c r="E11" s="59">
        <v>24796</v>
      </c>
      <c r="F11" s="59">
        <v>26092</v>
      </c>
      <c r="G11" s="59">
        <v>26935</v>
      </c>
      <c r="H11" s="59">
        <v>27166</v>
      </c>
      <c r="I11" s="59">
        <v>27795</v>
      </c>
      <c r="J11" s="31">
        <v>28623.235077899993</v>
      </c>
    </row>
    <row r="12" spans="2:10" ht="14.25" thickBot="1" x14ac:dyDescent="0.3">
      <c r="D12" s="58" t="s">
        <v>152</v>
      </c>
      <c r="E12" s="60">
        <v>-61394</v>
      </c>
      <c r="F12" s="60">
        <v>-61891</v>
      </c>
      <c r="G12" s="60">
        <v>-63575</v>
      </c>
      <c r="H12" s="60">
        <v>-68958</v>
      </c>
      <c r="I12" s="60">
        <v>-61686</v>
      </c>
      <c r="J12" s="31">
        <v>-63841.808376527115</v>
      </c>
    </row>
    <row r="13" spans="2:10" ht="14.25" thickBot="1" x14ac:dyDescent="0.3">
      <c r="D13" s="84" t="s">
        <v>153</v>
      </c>
      <c r="E13" s="17">
        <v>184181</v>
      </c>
      <c r="F13" s="17">
        <v>185674</v>
      </c>
      <c r="G13" s="17">
        <v>190725</v>
      </c>
      <c r="H13" s="17">
        <v>206874</v>
      </c>
      <c r="I13" s="17">
        <v>185057</v>
      </c>
      <c r="J13" s="24">
        <v>191525.42512958133</v>
      </c>
    </row>
    <row r="14" spans="2:10" ht="9" customHeight="1" x14ac:dyDescent="0.25">
      <c r="D14" s="26"/>
      <c r="E14" s="34"/>
      <c r="F14" s="34"/>
      <c r="G14" s="34"/>
      <c r="H14" s="34"/>
      <c r="I14" s="34"/>
      <c r="J14" s="58"/>
    </row>
    <row r="15" spans="2:10" x14ac:dyDescent="0.25">
      <c r="D15" s="58"/>
      <c r="E15" s="58"/>
      <c r="F15" s="58"/>
      <c r="G15" s="58"/>
      <c r="J15" s="86" t="s">
        <v>67</v>
      </c>
    </row>
    <row r="16" spans="2:10" x14ac:dyDescent="0.25">
      <c r="D16" s="58"/>
      <c r="E16" s="58"/>
      <c r="F16" s="58"/>
      <c r="G16" s="58"/>
      <c r="H16" s="58"/>
      <c r="I16" s="58"/>
      <c r="J16" s="58"/>
    </row>
    <row r="17" spans="4:10" x14ac:dyDescent="0.25">
      <c r="D17" s="58"/>
      <c r="E17" s="58"/>
      <c r="F17" s="58"/>
      <c r="G17" s="58"/>
      <c r="H17" s="58"/>
      <c r="I17" s="58"/>
      <c r="J17" s="58"/>
    </row>
    <row r="18" spans="4:10" ht="14.25" thickBot="1" x14ac:dyDescent="0.3">
      <c r="D18" s="15"/>
      <c r="E18" s="16" t="s">
        <v>6</v>
      </c>
      <c r="F18" s="16" t="s">
        <v>3</v>
      </c>
      <c r="G18" s="16" t="s">
        <v>4</v>
      </c>
      <c r="H18" s="16" t="s">
        <v>19</v>
      </c>
      <c r="I18" s="16" t="s">
        <v>25</v>
      </c>
      <c r="J18" s="21" t="s">
        <v>165</v>
      </c>
    </row>
    <row r="19" spans="4:10" x14ac:dyDescent="0.25">
      <c r="D19" s="61" t="s">
        <v>154</v>
      </c>
      <c r="E19" s="62">
        <v>82881</v>
      </c>
      <c r="F19" s="62">
        <v>83553</v>
      </c>
      <c r="G19" s="62">
        <v>85826</v>
      </c>
      <c r="H19" s="62">
        <v>93093</v>
      </c>
      <c r="I19" s="62">
        <v>83275</v>
      </c>
      <c r="J19" s="30">
        <v>86186.441308311594</v>
      </c>
    </row>
    <row r="20" spans="4:10" x14ac:dyDescent="0.25">
      <c r="D20" s="61" t="s">
        <v>153</v>
      </c>
      <c r="E20" s="62">
        <f t="shared" ref="E20" si="0">+E13</f>
        <v>184181</v>
      </c>
      <c r="F20" s="62">
        <f t="shared" ref="F20:J20" si="1">+F13</f>
        <v>185674</v>
      </c>
      <c r="G20" s="62">
        <f t="shared" si="1"/>
        <v>190725</v>
      </c>
      <c r="H20" s="62">
        <f t="shared" si="1"/>
        <v>206874</v>
      </c>
      <c r="I20" s="62">
        <f t="shared" si="1"/>
        <v>185057</v>
      </c>
      <c r="J20" s="161">
        <f t="shared" si="1"/>
        <v>191525.42512958133</v>
      </c>
    </row>
    <row r="21" spans="4:10" x14ac:dyDescent="0.25">
      <c r="D21" s="61"/>
      <c r="E21" s="62"/>
      <c r="F21" s="62"/>
      <c r="G21" s="62"/>
      <c r="H21" s="62"/>
      <c r="I21" s="62"/>
      <c r="J21" s="30"/>
    </row>
    <row r="22" spans="4:10" x14ac:dyDescent="0.25">
      <c r="D22" s="61" t="s">
        <v>155</v>
      </c>
      <c r="E22" s="62">
        <v>385270.20790162636</v>
      </c>
      <c r="F22" s="62">
        <v>391162.2635219369</v>
      </c>
      <c r="G22" s="62">
        <f>526011.113113886-120000</f>
        <v>406011.11311388598</v>
      </c>
      <c r="H22" s="62">
        <v>384082.53742492298</v>
      </c>
      <c r="I22" s="62">
        <v>347530.79890801519</v>
      </c>
      <c r="J22" s="30">
        <v>344766.95667894901</v>
      </c>
    </row>
    <row r="23" spans="4:10" x14ac:dyDescent="0.25">
      <c r="D23" s="65" t="s">
        <v>156</v>
      </c>
      <c r="E23" s="66">
        <v>1</v>
      </c>
      <c r="F23" s="66">
        <v>1</v>
      </c>
      <c r="G23" s="66">
        <v>1</v>
      </c>
      <c r="H23" s="66">
        <v>1</v>
      </c>
      <c r="I23" s="66">
        <v>1</v>
      </c>
      <c r="J23" s="162">
        <v>1</v>
      </c>
    </row>
    <row r="24" spans="4:10" ht="14.25" thickBot="1" x14ac:dyDescent="0.3">
      <c r="D24" s="61"/>
      <c r="E24" s="62"/>
      <c r="F24" s="62"/>
      <c r="G24" s="62"/>
      <c r="H24" s="62"/>
      <c r="I24" s="62"/>
      <c r="J24" s="30"/>
    </row>
    <row r="25" spans="4:10" x14ac:dyDescent="0.25">
      <c r="D25" s="92" t="s">
        <v>157</v>
      </c>
      <c r="E25" s="63">
        <f t="shared" ref="E25" si="2">+E22/E19</f>
        <v>4.6484744139383736</v>
      </c>
      <c r="F25" s="63">
        <f t="shared" ref="F25:J25" si="3">+F22/F19</f>
        <v>4.6816064476671917</v>
      </c>
      <c r="G25" s="63">
        <f t="shared" si="3"/>
        <v>4.7306307309426741</v>
      </c>
      <c r="H25" s="63">
        <f t="shared" si="3"/>
        <v>4.1257939632939422</v>
      </c>
      <c r="I25" s="63">
        <f t="shared" si="3"/>
        <v>4.1732908905195458</v>
      </c>
      <c r="J25" s="163">
        <f t="shared" si="3"/>
        <v>4.0002458791125486</v>
      </c>
    </row>
    <row r="26" spans="4:10" ht="14.25" thickBot="1" x14ac:dyDescent="0.3">
      <c r="D26" s="93" t="s">
        <v>158</v>
      </c>
      <c r="E26" s="64">
        <f t="shared" ref="E26:J26" si="4">+E22/E13</f>
        <v>2.0918021288929172</v>
      </c>
      <c r="F26" s="64">
        <f t="shared" si="4"/>
        <v>2.1067153372143483</v>
      </c>
      <c r="G26" s="64">
        <f t="shared" si="4"/>
        <v>2.1287776280712332</v>
      </c>
      <c r="H26" s="64">
        <f t="shared" si="4"/>
        <v>1.8566013004288744</v>
      </c>
      <c r="I26" s="64">
        <f t="shared" si="4"/>
        <v>1.8779662423362271</v>
      </c>
      <c r="J26" s="164">
        <f t="shared" si="4"/>
        <v>1.8001106456006468</v>
      </c>
    </row>
    <row r="27" spans="4:10" ht="9" customHeight="1" x14ac:dyDescent="0.25">
      <c r="D27" s="26"/>
      <c r="E27" s="34"/>
      <c r="F27" s="34"/>
      <c r="G27" s="34"/>
      <c r="H27" s="34"/>
      <c r="I27" s="34"/>
      <c r="J27" s="67"/>
    </row>
    <row r="28" spans="4:10" x14ac:dyDescent="0.25">
      <c r="D28" s="58"/>
      <c r="E28" s="58"/>
      <c r="F28" s="58"/>
      <c r="G28" s="58"/>
      <c r="J28" s="86" t="s">
        <v>67</v>
      </c>
    </row>
    <row r="30" spans="4:10" x14ac:dyDescent="0.25">
      <c r="J30" s="114"/>
    </row>
  </sheetData>
  <hyperlinks>
    <hyperlink ref="B2" location="'Financial Supplement&gt;&gt;&gt;'!A1" display="INDEX" xr:uid="{493E4D61-6CAB-4760-912D-127670610C1F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7.85546875" style="8" bestFit="1" customWidth="1"/>
    <col min="5" max="9" width="13.28515625" style="8" customWidth="1"/>
    <col min="10" max="10" width="13.140625" style="8" customWidth="1"/>
    <col min="11" max="16384" width="11.42578125" style="8"/>
  </cols>
  <sheetData>
    <row r="1" spans="2:10" ht="16.5" customHeight="1" x14ac:dyDescent="0.25">
      <c r="B1" s="7"/>
    </row>
    <row r="2" spans="2:10" ht="18.75" customHeight="1" thickBot="1" x14ac:dyDescent="0.3">
      <c r="B2" s="143" t="s">
        <v>28</v>
      </c>
      <c r="D2" s="19" t="s">
        <v>39</v>
      </c>
      <c r="E2" s="20"/>
      <c r="F2" s="20"/>
      <c r="G2" s="20"/>
      <c r="H2" s="20"/>
      <c r="I2" s="20"/>
      <c r="J2" s="20"/>
    </row>
    <row r="3" spans="2:10" x14ac:dyDescent="0.25">
      <c r="D3" s="9"/>
      <c r="E3" s="9"/>
      <c r="F3" s="9"/>
      <c r="G3" s="9"/>
      <c r="H3" s="9"/>
      <c r="I3" s="9"/>
    </row>
    <row r="4" spans="2:10" ht="16.5" thickBot="1" x14ac:dyDescent="0.3">
      <c r="D4" s="15" t="s">
        <v>40</v>
      </c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165</v>
      </c>
    </row>
    <row r="5" spans="2:10" x14ac:dyDescent="0.25">
      <c r="D5" s="82" t="s">
        <v>41</v>
      </c>
      <c r="E5" s="12">
        <v>166776</v>
      </c>
      <c r="F5" s="12">
        <v>144937</v>
      </c>
      <c r="G5" s="12">
        <v>162500</v>
      </c>
      <c r="H5" s="12">
        <v>115788</v>
      </c>
      <c r="I5" s="12">
        <v>51661</v>
      </c>
      <c r="J5" s="22">
        <v>25924</v>
      </c>
    </row>
    <row r="6" spans="2:10" x14ac:dyDescent="0.25">
      <c r="D6" s="82" t="s">
        <v>42</v>
      </c>
      <c r="E6" s="12">
        <f t="shared" ref="E6:I6" si="0">SUM(E7:E8)</f>
        <v>782715</v>
      </c>
      <c r="F6" s="12">
        <f t="shared" si="0"/>
        <v>834498</v>
      </c>
      <c r="G6" s="12">
        <f t="shared" si="0"/>
        <v>917074</v>
      </c>
      <c r="H6" s="12">
        <f t="shared" si="0"/>
        <v>864978</v>
      </c>
      <c r="I6" s="12">
        <f t="shared" si="0"/>
        <v>739664</v>
      </c>
      <c r="J6" s="22">
        <f t="shared" ref="J6" si="1">SUM(J7:J8)</f>
        <v>832630</v>
      </c>
    </row>
    <row r="7" spans="2:10" x14ac:dyDescent="0.25">
      <c r="D7" s="83" t="s">
        <v>43</v>
      </c>
      <c r="E7" s="13">
        <v>88763</v>
      </c>
      <c r="F7" s="13">
        <v>116688</v>
      </c>
      <c r="G7" s="13">
        <v>125855</v>
      </c>
      <c r="H7" s="13">
        <v>153963</v>
      </c>
      <c r="I7" s="13">
        <v>120886</v>
      </c>
      <c r="J7" s="23">
        <v>119615</v>
      </c>
    </row>
    <row r="8" spans="2:10" x14ac:dyDescent="0.25">
      <c r="D8" s="83" t="s">
        <v>44</v>
      </c>
      <c r="E8" s="13">
        <v>693952</v>
      </c>
      <c r="F8" s="13">
        <v>717810</v>
      </c>
      <c r="G8" s="13">
        <v>791219</v>
      </c>
      <c r="H8" s="13">
        <v>711015</v>
      </c>
      <c r="I8" s="13">
        <v>618778</v>
      </c>
      <c r="J8" s="23">
        <v>713015</v>
      </c>
    </row>
    <row r="9" spans="2:10" x14ac:dyDescent="0.25">
      <c r="D9" s="82" t="s">
        <v>45</v>
      </c>
      <c r="E9" s="12">
        <v>115951</v>
      </c>
      <c r="F9" s="12">
        <v>106760</v>
      </c>
      <c r="G9" s="12">
        <v>110373</v>
      </c>
      <c r="H9" s="12">
        <v>120615</v>
      </c>
      <c r="I9" s="12">
        <v>123448</v>
      </c>
      <c r="J9" s="22">
        <v>120853</v>
      </c>
    </row>
    <row r="10" spans="2:10" x14ac:dyDescent="0.25">
      <c r="D10" s="82" t="s">
        <v>46</v>
      </c>
      <c r="E10" s="12">
        <v>0</v>
      </c>
      <c r="F10" s="12">
        <v>0</v>
      </c>
      <c r="G10" s="12">
        <v>0</v>
      </c>
      <c r="H10" s="12">
        <v>0</v>
      </c>
      <c r="I10" s="12">
        <v>7808</v>
      </c>
      <c r="J10" s="22">
        <v>8513</v>
      </c>
    </row>
    <row r="11" spans="2:10" x14ac:dyDescent="0.25">
      <c r="D11" s="82" t="s">
        <v>47</v>
      </c>
      <c r="E11" s="12">
        <v>7318</v>
      </c>
      <c r="F11" s="12">
        <v>9517</v>
      </c>
      <c r="G11" s="12">
        <v>12477</v>
      </c>
      <c r="H11" s="12">
        <v>20153</v>
      </c>
      <c r="I11" s="12">
        <v>19263</v>
      </c>
      <c r="J11" s="22">
        <v>28391</v>
      </c>
    </row>
    <row r="12" spans="2:10" x14ac:dyDescent="0.25">
      <c r="D12" s="82" t="s">
        <v>48</v>
      </c>
      <c r="E12" s="12">
        <f t="shared" ref="E12:G12" si="2">SUM(E13:E14)</f>
        <v>110844</v>
      </c>
      <c r="F12" s="12">
        <f t="shared" si="2"/>
        <v>114588</v>
      </c>
      <c r="G12" s="12">
        <f t="shared" si="2"/>
        <v>111282</v>
      </c>
      <c r="H12" s="12">
        <f t="shared" ref="H12" si="3">SUM(H13:H14)</f>
        <v>110721</v>
      </c>
      <c r="I12" s="12">
        <f t="shared" ref="I12" si="4">SUM(I13:I14)</f>
        <v>110044</v>
      </c>
      <c r="J12" s="22">
        <f t="shared" ref="J12" si="5">SUM(J13:J14)</f>
        <v>109288</v>
      </c>
    </row>
    <row r="13" spans="2:10" x14ac:dyDescent="0.25">
      <c r="D13" s="83" t="s">
        <v>49</v>
      </c>
      <c r="E13" s="13">
        <v>43386</v>
      </c>
      <c r="F13" s="13">
        <v>47918</v>
      </c>
      <c r="G13" s="13">
        <v>45334</v>
      </c>
      <c r="H13" s="13">
        <v>45264</v>
      </c>
      <c r="I13" s="13">
        <v>45368</v>
      </c>
      <c r="J13" s="23">
        <v>43894</v>
      </c>
    </row>
    <row r="14" spans="2:10" x14ac:dyDescent="0.25">
      <c r="D14" s="83" t="s">
        <v>50</v>
      </c>
      <c r="E14" s="13">
        <v>67458</v>
      </c>
      <c r="F14" s="13">
        <v>66670</v>
      </c>
      <c r="G14" s="13">
        <v>65948</v>
      </c>
      <c r="H14" s="13">
        <v>65457</v>
      </c>
      <c r="I14" s="13">
        <v>64676</v>
      </c>
      <c r="J14" s="23">
        <v>65394</v>
      </c>
    </row>
    <row r="15" spans="2:10" x14ac:dyDescent="0.25">
      <c r="D15" s="82" t="s">
        <v>51</v>
      </c>
      <c r="E15" s="12">
        <v>7593</v>
      </c>
      <c r="F15" s="12">
        <v>11845</v>
      </c>
      <c r="G15" s="12">
        <v>12688</v>
      </c>
      <c r="H15" s="12">
        <v>14121</v>
      </c>
      <c r="I15" s="12">
        <v>14482</v>
      </c>
      <c r="J15" s="22">
        <v>28089</v>
      </c>
    </row>
    <row r="16" spans="2:10" ht="16.5" thickBot="1" x14ac:dyDescent="0.3">
      <c r="D16" s="82" t="s">
        <v>52</v>
      </c>
      <c r="E16" s="12">
        <v>109552</v>
      </c>
      <c r="F16" s="12">
        <v>114481</v>
      </c>
      <c r="G16" s="12">
        <v>110139</v>
      </c>
      <c r="H16" s="12">
        <v>122102</v>
      </c>
      <c r="I16" s="12">
        <v>129045</v>
      </c>
      <c r="J16" s="22">
        <v>125320</v>
      </c>
    </row>
    <row r="17" spans="4:11" ht="16.5" thickBot="1" x14ac:dyDescent="0.3">
      <c r="D17" s="84" t="s">
        <v>53</v>
      </c>
      <c r="E17" s="17">
        <f>SUM(E5,E6,E9,E11,E12,E15,E16)</f>
        <v>1300749</v>
      </c>
      <c r="F17" s="17">
        <f t="shared" ref="F17:H17" si="6">SUM(F5,F6,F9,F11,F12,F15,F16)</f>
        <v>1336626</v>
      </c>
      <c r="G17" s="17">
        <f t="shared" si="6"/>
        <v>1436533</v>
      </c>
      <c r="H17" s="17">
        <f t="shared" si="6"/>
        <v>1368478</v>
      </c>
      <c r="I17" s="17">
        <f>SUM(I5,I6,I9,I11,I12,I15,I16,I10)</f>
        <v>1195415</v>
      </c>
      <c r="J17" s="24">
        <f>SUM(J5,J6,J9,J11,J12,J15,J16,J10)</f>
        <v>1279008</v>
      </c>
    </row>
    <row r="18" spans="4:11" s="3" customFormat="1" ht="9" customHeight="1" x14ac:dyDescent="0.25">
      <c r="D18" s="26"/>
      <c r="E18" s="46"/>
      <c r="F18" s="46"/>
      <c r="G18" s="46"/>
      <c r="H18" s="46"/>
      <c r="I18" s="46"/>
      <c r="J18" s="46"/>
      <c r="K18" s="47"/>
    </row>
    <row r="19" spans="4:11" s="3" customFormat="1" ht="15" x14ac:dyDescent="0.25">
      <c r="D19" s="28"/>
      <c r="E19" s="48"/>
      <c r="F19" s="48"/>
      <c r="G19" s="48"/>
      <c r="J19" s="86" t="s">
        <v>67</v>
      </c>
    </row>
    <row r="20" spans="4:11" x14ac:dyDescent="0.25">
      <c r="D20" s="10"/>
      <c r="E20" s="11"/>
      <c r="F20" s="11"/>
      <c r="G20" s="11"/>
      <c r="H20" s="11"/>
      <c r="I20" s="11"/>
    </row>
    <row r="22" spans="4:11" ht="16.5" thickBot="1" x14ac:dyDescent="0.3">
      <c r="D22" s="15" t="s">
        <v>54</v>
      </c>
      <c r="E22" s="16" t="s">
        <v>6</v>
      </c>
      <c r="F22" s="16" t="s">
        <v>3</v>
      </c>
      <c r="G22" s="16" t="s">
        <v>4</v>
      </c>
      <c r="H22" s="16" t="s">
        <v>19</v>
      </c>
      <c r="I22" s="16" t="s">
        <v>25</v>
      </c>
      <c r="J22" s="21" t="s">
        <v>165</v>
      </c>
    </row>
    <row r="23" spans="4:11" x14ac:dyDescent="0.25">
      <c r="D23" s="82" t="s">
        <v>55</v>
      </c>
      <c r="E23" s="12">
        <v>211889</v>
      </c>
      <c r="F23" s="12">
        <v>207608</v>
      </c>
      <c r="G23" s="12">
        <v>174445</v>
      </c>
      <c r="H23" s="12">
        <v>175406</v>
      </c>
      <c r="I23" s="12">
        <v>59288</v>
      </c>
      <c r="J23" s="22">
        <v>60855</v>
      </c>
    </row>
    <row r="24" spans="4:11" x14ac:dyDescent="0.25">
      <c r="D24" s="82" t="s">
        <v>46</v>
      </c>
      <c r="E24" s="12">
        <v>3385</v>
      </c>
      <c r="F24" s="12">
        <v>13584</v>
      </c>
      <c r="G24" s="12">
        <v>15167</v>
      </c>
      <c r="H24" s="12">
        <v>9447</v>
      </c>
      <c r="I24" s="12">
        <v>0</v>
      </c>
      <c r="J24" s="22">
        <v>0</v>
      </c>
    </row>
    <row r="25" spans="4:11" x14ac:dyDescent="0.25">
      <c r="D25" s="82" t="s">
        <v>56</v>
      </c>
      <c r="E25" s="12">
        <f t="shared" ref="E25:J25" si="7">SUM(E26:E28)</f>
        <v>725891</v>
      </c>
      <c r="F25" s="12">
        <f t="shared" si="7"/>
        <v>725860</v>
      </c>
      <c r="G25" s="12">
        <f t="shared" si="7"/>
        <v>716491</v>
      </c>
      <c r="H25" s="12">
        <f t="shared" si="7"/>
        <v>738158</v>
      </c>
      <c r="I25" s="12">
        <f t="shared" si="7"/>
        <v>791040</v>
      </c>
      <c r="J25" s="22">
        <f t="shared" si="7"/>
        <v>885124</v>
      </c>
    </row>
    <row r="26" spans="4:11" x14ac:dyDescent="0.25">
      <c r="D26" s="83" t="s">
        <v>57</v>
      </c>
      <c r="E26" s="13">
        <v>428118</v>
      </c>
      <c r="F26" s="13">
        <v>443115</v>
      </c>
      <c r="G26" s="13">
        <v>446423</v>
      </c>
      <c r="H26" s="13">
        <v>449740</v>
      </c>
      <c r="I26" s="13">
        <v>470783</v>
      </c>
      <c r="J26" s="23">
        <v>486073</v>
      </c>
    </row>
    <row r="27" spans="4:11" x14ac:dyDescent="0.25">
      <c r="D27" s="83" t="s">
        <v>58</v>
      </c>
      <c r="E27" s="13">
        <v>0</v>
      </c>
      <c r="F27" s="13">
        <v>6115</v>
      </c>
      <c r="G27" s="13">
        <v>4622</v>
      </c>
      <c r="H27" s="13">
        <v>3280</v>
      </c>
      <c r="I27" s="13">
        <v>2378</v>
      </c>
      <c r="J27" s="23">
        <v>2378</v>
      </c>
    </row>
    <row r="28" spans="4:11" x14ac:dyDescent="0.25">
      <c r="D28" s="83" t="s">
        <v>59</v>
      </c>
      <c r="E28" s="13">
        <v>297773</v>
      </c>
      <c r="F28" s="13">
        <v>276630</v>
      </c>
      <c r="G28" s="13">
        <v>265446</v>
      </c>
      <c r="H28" s="13">
        <v>285138</v>
      </c>
      <c r="I28" s="13">
        <v>317879</v>
      </c>
      <c r="J28" s="23">
        <v>396673</v>
      </c>
    </row>
    <row r="29" spans="4:11" x14ac:dyDescent="0.25">
      <c r="D29" s="82" t="s">
        <v>60</v>
      </c>
      <c r="E29" s="12">
        <v>24652</v>
      </c>
      <c r="F29" s="12">
        <v>22816</v>
      </c>
      <c r="G29" s="12">
        <v>16849</v>
      </c>
      <c r="H29" s="12">
        <v>22133</v>
      </c>
      <c r="I29" s="12">
        <v>26118</v>
      </c>
      <c r="J29" s="22">
        <v>26719</v>
      </c>
    </row>
    <row r="30" spans="4:11" ht="16.5" thickBot="1" x14ac:dyDescent="0.3">
      <c r="D30" s="82" t="s">
        <v>61</v>
      </c>
      <c r="E30" s="12">
        <v>46728</v>
      </c>
      <c r="F30" s="12">
        <v>41698</v>
      </c>
      <c r="G30" s="12">
        <v>46222</v>
      </c>
      <c r="H30" s="12">
        <v>45059</v>
      </c>
      <c r="I30" s="12">
        <v>28469</v>
      </c>
      <c r="J30" s="22">
        <v>28352</v>
      </c>
    </row>
    <row r="31" spans="4:11" ht="16.5" thickBot="1" x14ac:dyDescent="0.3">
      <c r="D31" s="84" t="s">
        <v>62</v>
      </c>
      <c r="E31" s="18">
        <f t="shared" ref="E31:F31" si="8">SUM(E30,E29,E25,E24,E23)</f>
        <v>1012545</v>
      </c>
      <c r="F31" s="18">
        <f t="shared" si="8"/>
        <v>1011566</v>
      </c>
      <c r="G31" s="18">
        <f>SUM(G30,G29,G25,G24,G23)</f>
        <v>969174</v>
      </c>
      <c r="H31" s="18">
        <f t="shared" ref="H31" si="9">SUM(H30,H29,H25,H24,H23)</f>
        <v>990203</v>
      </c>
      <c r="I31" s="18">
        <f t="shared" ref="I31:J31" si="10">SUM(I30,I29,I25,I24,I23)</f>
        <v>904915</v>
      </c>
      <c r="J31" s="150">
        <f t="shared" si="10"/>
        <v>1001050</v>
      </c>
    </row>
    <row r="32" spans="4:11" x14ac:dyDescent="0.25">
      <c r="D32" s="85" t="s">
        <v>63</v>
      </c>
      <c r="E32" s="13">
        <v>273634</v>
      </c>
      <c r="F32" s="13">
        <v>287881</v>
      </c>
      <c r="G32" s="13">
        <v>422727</v>
      </c>
      <c r="H32" s="13">
        <v>334909</v>
      </c>
      <c r="I32" s="13">
        <v>320356</v>
      </c>
      <c r="J32" s="23">
        <v>304481</v>
      </c>
    </row>
    <row r="33" spans="4:11" ht="16.5" thickBot="1" x14ac:dyDescent="0.3">
      <c r="D33" s="85" t="s">
        <v>64</v>
      </c>
      <c r="E33" s="13">
        <v>14570</v>
      </c>
      <c r="F33" s="13">
        <v>37179</v>
      </c>
      <c r="G33" s="13">
        <v>44632</v>
      </c>
      <c r="H33" s="13">
        <v>43366</v>
      </c>
      <c r="I33" s="13">
        <v>-29856</v>
      </c>
      <c r="J33" s="23">
        <v>-26523</v>
      </c>
    </row>
    <row r="34" spans="4:11" ht="16.5" thickBot="1" x14ac:dyDescent="0.3">
      <c r="D34" s="84" t="s">
        <v>65</v>
      </c>
      <c r="E34" s="18">
        <f t="shared" ref="E34:F34" si="11">SUM(E32:E33)</f>
        <v>288204</v>
      </c>
      <c r="F34" s="18">
        <f t="shared" si="11"/>
        <v>325060</v>
      </c>
      <c r="G34" s="18">
        <f>SUM(G32:G33)</f>
        <v>467359</v>
      </c>
      <c r="H34" s="18">
        <f t="shared" ref="H34" si="12">SUM(H32:H33)</f>
        <v>378275</v>
      </c>
      <c r="I34" s="18">
        <f t="shared" ref="I34:J34" si="13">SUM(I32:I33)</f>
        <v>290500</v>
      </c>
      <c r="J34" s="150">
        <f t="shared" si="13"/>
        <v>277958</v>
      </c>
    </row>
    <row r="35" spans="4:11" ht="16.5" thickBot="1" x14ac:dyDescent="0.3">
      <c r="D35" s="84" t="s">
        <v>66</v>
      </c>
      <c r="E35" s="18">
        <f t="shared" ref="E35:J35" si="14">E34+E31</f>
        <v>1300749</v>
      </c>
      <c r="F35" s="18">
        <f t="shared" si="14"/>
        <v>1336626</v>
      </c>
      <c r="G35" s="18">
        <f t="shared" si="14"/>
        <v>1436533</v>
      </c>
      <c r="H35" s="18">
        <f t="shared" si="14"/>
        <v>1368478</v>
      </c>
      <c r="I35" s="18">
        <f t="shared" si="14"/>
        <v>1195415</v>
      </c>
      <c r="J35" s="150">
        <f t="shared" si="14"/>
        <v>1279008</v>
      </c>
    </row>
    <row r="36" spans="4:11" s="3" customFormat="1" ht="9" customHeight="1" x14ac:dyDescent="0.25">
      <c r="D36" s="26"/>
      <c r="E36" s="46"/>
      <c r="F36" s="46"/>
      <c r="G36" s="46"/>
      <c r="H36" s="46"/>
      <c r="I36" s="46"/>
      <c r="J36" s="46"/>
      <c r="K36" s="47"/>
    </row>
    <row r="37" spans="4:11" s="3" customFormat="1" ht="15" x14ac:dyDescent="0.25">
      <c r="D37" s="28"/>
      <c r="E37" s="48"/>
      <c r="F37" s="48"/>
      <c r="G37" s="48"/>
      <c r="J37" s="86" t="s">
        <v>67</v>
      </c>
    </row>
    <row r="38" spans="4:11" x14ac:dyDescent="0.25">
      <c r="D38" s="10"/>
      <c r="E38" s="11"/>
      <c r="F38" s="11"/>
      <c r="G38" s="11"/>
      <c r="H38" s="11"/>
      <c r="I38" s="11"/>
    </row>
  </sheetData>
  <hyperlinks>
    <hyperlink ref="B2" location="'Financial Supplement&gt;&gt;&gt;'!A1" display="INDEX" xr:uid="{2101A27B-2B26-42D8-BBEE-F520D85A6A8A}"/>
  </hyperlinks>
  <pageMargins left="0.7" right="0.7" top="0.75" bottom="0.75" header="0.3" footer="0.3"/>
  <pageSetup paperSize="9" scale="94" orientation="landscape" r:id="rId1"/>
  <ignoredErrors>
    <ignoredError sqref="E12:G12 E25:G25 E6:G6 E7:F9 E11:F11 H11:H18 H20:H25 H6:H9 I25 I6:I12 J6:J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I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6" style="1" bestFit="1" customWidth="1"/>
    <col min="5" max="5" width="13.28515625" style="1" customWidth="1"/>
    <col min="6" max="6" width="13.28515625" style="1" hidden="1" customWidth="1" outlineLevel="1"/>
    <col min="7" max="7" width="13.28515625" style="1" customWidth="1" collapsed="1"/>
    <col min="8" max="9" width="13.28515625" style="1" hidden="1" customWidth="1" outlineLevel="1"/>
    <col min="10" max="10" width="13.28515625" style="1" customWidth="1" collapsed="1"/>
    <col min="11" max="13" width="13.28515625" style="1" hidden="1" customWidth="1" outlineLevel="1"/>
    <col min="14" max="14" width="13.28515625" style="1" customWidth="1" collapsed="1"/>
    <col min="15" max="16" width="13.28515625" style="1" hidden="1" customWidth="1" outlineLevel="1"/>
    <col min="17" max="17" width="13.28515625" style="1" customWidth="1" collapsed="1"/>
    <col min="18" max="18" width="13.28515625" style="1" customWidth="1"/>
    <col min="19" max="20" width="13.28515625" style="1" hidden="1" customWidth="1" outlineLevel="1"/>
    <col min="21" max="21" width="13.28515625" style="1" customWidth="1" collapsed="1"/>
    <col min="22" max="22" width="3" style="1" customWidth="1"/>
    <col min="23" max="16384" width="11.42578125" style="1"/>
  </cols>
  <sheetData>
    <row r="1" spans="2:35" ht="16.5" customHeight="1" x14ac:dyDescent="0.25"/>
    <row r="2" spans="2:35" ht="18.75" customHeight="1" thickBot="1" x14ac:dyDescent="0.3">
      <c r="B2" s="143" t="s">
        <v>28</v>
      </c>
      <c r="D2" s="19" t="s">
        <v>68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W2" s="19" t="s">
        <v>86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 x14ac:dyDescent="0.25">
      <c r="B3" s="25"/>
      <c r="D3" s="26"/>
      <c r="E3" s="27"/>
      <c r="F3" s="27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2:35" ht="16.5" thickBot="1" x14ac:dyDescent="0.3">
      <c r="B4" s="25"/>
      <c r="D4" s="32"/>
      <c r="E4" s="16" t="s">
        <v>6</v>
      </c>
      <c r="F4" s="16" t="s">
        <v>16</v>
      </c>
      <c r="G4" s="16" t="s">
        <v>3</v>
      </c>
      <c r="H4" s="16" t="s">
        <v>17</v>
      </c>
      <c r="I4" s="16" t="s">
        <v>14</v>
      </c>
      <c r="J4" s="16" t="s">
        <v>4</v>
      </c>
      <c r="K4" s="16" t="s">
        <v>21</v>
      </c>
      <c r="L4" s="16" t="s">
        <v>15</v>
      </c>
      <c r="M4" s="16" t="s">
        <v>13</v>
      </c>
      <c r="N4" s="16" t="s">
        <v>19</v>
      </c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27</v>
      </c>
      <c r="U4" s="21" t="s">
        <v>165</v>
      </c>
      <c r="W4" s="16" t="s">
        <v>87</v>
      </c>
      <c r="X4" s="16" t="s">
        <v>88</v>
      </c>
      <c r="Y4" s="16" t="s">
        <v>89</v>
      </c>
      <c r="Z4" s="16" t="s">
        <v>90</v>
      </c>
      <c r="AA4" s="16" t="s">
        <v>91</v>
      </c>
      <c r="AB4" s="16" t="s">
        <v>92</v>
      </c>
      <c r="AC4" s="16" t="s">
        <v>93</v>
      </c>
      <c r="AD4" s="16" t="s">
        <v>94</v>
      </c>
      <c r="AE4" s="16" t="s">
        <v>95</v>
      </c>
      <c r="AF4" s="16" t="s">
        <v>96</v>
      </c>
      <c r="AG4" s="16" t="s">
        <v>97</v>
      </c>
      <c r="AH4" s="16" t="s">
        <v>98</v>
      </c>
      <c r="AI4" s="21" t="s">
        <v>166</v>
      </c>
    </row>
    <row r="5" spans="2:35" ht="15.75" x14ac:dyDescent="0.25">
      <c r="B5" s="25"/>
      <c r="D5" s="26" t="s">
        <v>69</v>
      </c>
      <c r="E5" s="14">
        <v>853119</v>
      </c>
      <c r="F5" s="14">
        <v>671237.88711999997</v>
      </c>
      <c r="G5" s="14">
        <v>891295</v>
      </c>
      <c r="H5" s="14">
        <v>451910</v>
      </c>
      <c r="I5" s="14">
        <v>675056.76400999993</v>
      </c>
      <c r="J5" s="14">
        <v>898614</v>
      </c>
      <c r="K5" s="14">
        <v>224068</v>
      </c>
      <c r="L5" s="14">
        <v>456465</v>
      </c>
      <c r="M5" s="14">
        <v>682637.5491399999</v>
      </c>
      <c r="N5" s="14">
        <v>907189</v>
      </c>
      <c r="O5" s="14">
        <v>232005</v>
      </c>
      <c r="P5" s="14">
        <v>474789</v>
      </c>
      <c r="Q5" s="14">
        <v>710701</v>
      </c>
      <c r="R5" s="14">
        <v>946679</v>
      </c>
      <c r="S5" s="14">
        <v>244211</v>
      </c>
      <c r="T5" s="14">
        <v>491948</v>
      </c>
      <c r="U5" s="30">
        <v>731947</v>
      </c>
      <c r="W5" s="14">
        <f t="shared" ref="W5:W18" si="0">I5-H5</f>
        <v>223146.76400999993</v>
      </c>
      <c r="X5" s="14">
        <f t="shared" ref="X5:X18" si="1">J5-I5</f>
        <v>223557.23599000007</v>
      </c>
      <c r="Y5" s="14">
        <f>K5</f>
        <v>224068</v>
      </c>
      <c r="Z5" s="14">
        <f>L5-K5</f>
        <v>232397</v>
      </c>
      <c r="AA5" s="14">
        <f>M5-L5</f>
        <v>226172.5491399999</v>
      </c>
      <c r="AB5" s="14">
        <f t="shared" ref="AB5:AB17" si="2">N5-M5</f>
        <v>224551.4508600001</v>
      </c>
      <c r="AC5" s="14">
        <f t="shared" ref="AC5:AC17" si="3">O5</f>
        <v>232005</v>
      </c>
      <c r="AD5" s="14">
        <f>P5-O5</f>
        <v>242784</v>
      </c>
      <c r="AE5" s="14">
        <f>Q5-P5</f>
        <v>235912</v>
      </c>
      <c r="AF5" s="14">
        <f>R5-Q5</f>
        <v>235978</v>
      </c>
      <c r="AG5" s="14">
        <f>S5</f>
        <v>244211</v>
      </c>
      <c r="AH5" s="14">
        <f>T5-S5</f>
        <v>247737</v>
      </c>
      <c r="AI5" s="30">
        <f>U5-T5</f>
        <v>239999</v>
      </c>
    </row>
    <row r="6" spans="2:35" ht="15.75" x14ac:dyDescent="0.25">
      <c r="B6" s="25"/>
      <c r="D6" s="26" t="s">
        <v>70</v>
      </c>
      <c r="E6" s="14">
        <v>816289</v>
      </c>
      <c r="F6" s="14">
        <v>641351.88182999962</v>
      </c>
      <c r="G6" s="14">
        <v>854762</v>
      </c>
      <c r="H6" s="14">
        <v>434400</v>
      </c>
      <c r="I6" s="14">
        <v>654226.95956999995</v>
      </c>
      <c r="J6" s="14">
        <v>878177</v>
      </c>
      <c r="K6" s="14">
        <v>216386</v>
      </c>
      <c r="L6" s="14">
        <v>435993</v>
      </c>
      <c r="M6" s="14">
        <v>658532.16795000026</v>
      </c>
      <c r="N6" s="14">
        <v>882728</v>
      </c>
      <c r="O6" s="14">
        <v>218616</v>
      </c>
      <c r="P6" s="14">
        <v>441739</v>
      </c>
      <c r="Q6" s="14">
        <v>669797</v>
      </c>
      <c r="R6" s="14">
        <v>900647</v>
      </c>
      <c r="S6" s="14">
        <v>228677</v>
      </c>
      <c r="T6" s="14">
        <v>462016</v>
      </c>
      <c r="U6" s="30">
        <v>698840</v>
      </c>
      <c r="W6" s="14">
        <f t="shared" si="0"/>
        <v>219826.95956999995</v>
      </c>
      <c r="X6" s="14">
        <f t="shared" si="1"/>
        <v>223950.04043000005</v>
      </c>
      <c r="Y6" s="14">
        <f t="shared" ref="Y6:Y18" si="4">K6</f>
        <v>216386</v>
      </c>
      <c r="Z6" s="14">
        <f t="shared" ref="Z6:Z18" si="5">L6-K6</f>
        <v>219607</v>
      </c>
      <c r="AA6" s="14">
        <f t="shared" ref="AA6:AA18" si="6">M6-L6</f>
        <v>222539.16795000026</v>
      </c>
      <c r="AB6" s="14">
        <f t="shared" si="2"/>
        <v>224195.83204999974</v>
      </c>
      <c r="AC6" s="14">
        <f t="shared" si="3"/>
        <v>218616</v>
      </c>
      <c r="AD6" s="14">
        <f t="shared" ref="AD6:AD18" si="7">P6-O6</f>
        <v>223123</v>
      </c>
      <c r="AE6" s="14">
        <f t="shared" ref="AE6:AE18" si="8">Q6-P6</f>
        <v>228058</v>
      </c>
      <c r="AF6" s="14">
        <f t="shared" ref="AF6:AF18" si="9">R6-Q6</f>
        <v>230850</v>
      </c>
      <c r="AG6" s="14">
        <f t="shared" ref="AG6:AG18" si="10">S6</f>
        <v>228677</v>
      </c>
      <c r="AH6" s="14">
        <f t="shared" ref="AH6:AI17" si="11">T6-S6</f>
        <v>233339</v>
      </c>
      <c r="AI6" s="30">
        <f t="shared" si="11"/>
        <v>236824</v>
      </c>
    </row>
    <row r="7" spans="2:35" ht="15.75" x14ac:dyDescent="0.25">
      <c r="B7" s="25"/>
      <c r="D7" s="87" t="s">
        <v>71</v>
      </c>
      <c r="E7" s="29">
        <v>-528029</v>
      </c>
      <c r="F7" s="29">
        <v>-434879.50449328037</v>
      </c>
      <c r="G7" s="29">
        <v>-580987</v>
      </c>
      <c r="H7" s="29">
        <v>-279624</v>
      </c>
      <c r="I7" s="29">
        <v>-404121.66815101047</v>
      </c>
      <c r="J7" s="29">
        <v>-540064</v>
      </c>
      <c r="K7" s="29">
        <v>-142364</v>
      </c>
      <c r="L7" s="29">
        <v>-284885</v>
      </c>
      <c r="M7" s="29">
        <v>-434205.32618606143</v>
      </c>
      <c r="N7" s="29">
        <v>-597820</v>
      </c>
      <c r="O7" s="29">
        <v>-151164</v>
      </c>
      <c r="P7" s="29">
        <v>-310218</v>
      </c>
      <c r="Q7" s="29">
        <v>-487814</v>
      </c>
      <c r="R7" s="29">
        <v>-681500</v>
      </c>
      <c r="S7" s="29">
        <v>-197357</v>
      </c>
      <c r="T7" s="29">
        <v>-410601</v>
      </c>
      <c r="U7" s="31">
        <v>-610177</v>
      </c>
      <c r="W7" s="29">
        <f t="shared" si="0"/>
        <v>-124497.66815101047</v>
      </c>
      <c r="X7" s="29">
        <f t="shared" si="1"/>
        <v>-135942.33184898953</v>
      </c>
      <c r="Y7" s="29">
        <f t="shared" si="4"/>
        <v>-142364</v>
      </c>
      <c r="Z7" s="29">
        <f t="shared" si="5"/>
        <v>-142521</v>
      </c>
      <c r="AA7" s="29">
        <f t="shared" si="6"/>
        <v>-149320.32618606143</v>
      </c>
      <c r="AB7" s="29">
        <f t="shared" si="2"/>
        <v>-163614.67381393857</v>
      </c>
      <c r="AC7" s="29">
        <f t="shared" si="3"/>
        <v>-151164</v>
      </c>
      <c r="AD7" s="29">
        <f t="shared" si="7"/>
        <v>-159054</v>
      </c>
      <c r="AE7" s="29">
        <f t="shared" si="8"/>
        <v>-177596</v>
      </c>
      <c r="AF7" s="29">
        <f t="shared" si="9"/>
        <v>-193686</v>
      </c>
      <c r="AG7" s="29">
        <f t="shared" si="10"/>
        <v>-197357</v>
      </c>
      <c r="AH7" s="29">
        <f t="shared" si="11"/>
        <v>-213244</v>
      </c>
      <c r="AI7" s="31">
        <f t="shared" si="11"/>
        <v>-199576</v>
      </c>
    </row>
    <row r="8" spans="2:35" ht="15.75" x14ac:dyDescent="0.25">
      <c r="B8" s="25"/>
      <c r="D8" s="87" t="s">
        <v>72</v>
      </c>
      <c r="E8" s="29">
        <v>-196176</v>
      </c>
      <c r="F8" s="29">
        <v>-149071.66064898294</v>
      </c>
      <c r="G8" s="29">
        <v>-199919</v>
      </c>
      <c r="H8" s="29">
        <v>-101365</v>
      </c>
      <c r="I8" s="29">
        <v>-154592.63530112992</v>
      </c>
      <c r="J8" s="29">
        <v>-209603</v>
      </c>
      <c r="K8" s="29">
        <v>-46564</v>
      </c>
      <c r="L8" s="29">
        <v>-97485</v>
      </c>
      <c r="M8" s="29">
        <v>-149806.46006821495</v>
      </c>
      <c r="N8" s="29">
        <v>-203458</v>
      </c>
      <c r="O8" s="29">
        <v>-45654</v>
      </c>
      <c r="P8" s="29">
        <v>-94279</v>
      </c>
      <c r="Q8" s="29">
        <v>-146456</v>
      </c>
      <c r="R8" s="29">
        <v>-202182</v>
      </c>
      <c r="S8" s="29">
        <v>-50440</v>
      </c>
      <c r="T8" s="29">
        <v>-99816</v>
      </c>
      <c r="U8" s="31">
        <v>-152116</v>
      </c>
      <c r="W8" s="29">
        <f t="shared" si="0"/>
        <v>-53227.635301129922</v>
      </c>
      <c r="X8" s="29">
        <f t="shared" si="1"/>
        <v>-55010.364698870078</v>
      </c>
      <c r="Y8" s="29">
        <f t="shared" si="4"/>
        <v>-46564</v>
      </c>
      <c r="Z8" s="29">
        <f t="shared" si="5"/>
        <v>-50921</v>
      </c>
      <c r="AA8" s="29">
        <f t="shared" si="6"/>
        <v>-52321.460068214947</v>
      </c>
      <c r="AB8" s="29">
        <f t="shared" si="2"/>
        <v>-53651.539931785053</v>
      </c>
      <c r="AC8" s="29">
        <f t="shared" si="3"/>
        <v>-45654</v>
      </c>
      <c r="AD8" s="29">
        <f t="shared" si="7"/>
        <v>-48625</v>
      </c>
      <c r="AE8" s="29">
        <f t="shared" si="8"/>
        <v>-52177</v>
      </c>
      <c r="AF8" s="29">
        <f t="shared" si="9"/>
        <v>-55726</v>
      </c>
      <c r="AG8" s="29">
        <f t="shared" si="10"/>
        <v>-50440</v>
      </c>
      <c r="AH8" s="29">
        <f t="shared" si="11"/>
        <v>-49376</v>
      </c>
      <c r="AI8" s="31">
        <f t="shared" si="11"/>
        <v>-52300</v>
      </c>
    </row>
    <row r="9" spans="2:35" ht="15.75" x14ac:dyDescent="0.25">
      <c r="B9" s="25"/>
      <c r="D9" s="87" t="s">
        <v>73</v>
      </c>
      <c r="E9" s="29">
        <v>25728</v>
      </c>
      <c r="F9" s="29">
        <v>23267.081610000001</v>
      </c>
      <c r="G9" s="29">
        <v>29794</v>
      </c>
      <c r="H9" s="29">
        <v>8623</v>
      </c>
      <c r="I9" s="29">
        <v>14051.203730000003</v>
      </c>
      <c r="J9" s="29">
        <v>17429</v>
      </c>
      <c r="K9" s="29">
        <v>4086</v>
      </c>
      <c r="L9" s="29">
        <v>9516</v>
      </c>
      <c r="M9" s="29">
        <v>15089.09052</v>
      </c>
      <c r="N9" s="29">
        <v>22185</v>
      </c>
      <c r="O9" s="29">
        <v>2310</v>
      </c>
      <c r="P9" s="29">
        <v>6809</v>
      </c>
      <c r="Q9" s="29">
        <v>11920</v>
      </c>
      <c r="R9" s="29">
        <v>16385</v>
      </c>
      <c r="S9" s="29">
        <v>2314</v>
      </c>
      <c r="T9" s="29">
        <v>9021</v>
      </c>
      <c r="U9" s="31">
        <v>15646</v>
      </c>
      <c r="W9" s="29">
        <f t="shared" si="0"/>
        <v>5428.2037300000029</v>
      </c>
      <c r="X9" s="29">
        <f t="shared" si="1"/>
        <v>3377.7962699999971</v>
      </c>
      <c r="Y9" s="29">
        <f t="shared" si="4"/>
        <v>4086</v>
      </c>
      <c r="Z9" s="29">
        <f t="shared" si="5"/>
        <v>5430</v>
      </c>
      <c r="AA9" s="29">
        <f t="shared" si="6"/>
        <v>5573.0905199999997</v>
      </c>
      <c r="AB9" s="29">
        <f t="shared" si="2"/>
        <v>7095.9094800000003</v>
      </c>
      <c r="AC9" s="29">
        <f t="shared" si="3"/>
        <v>2310</v>
      </c>
      <c r="AD9" s="29">
        <f t="shared" si="7"/>
        <v>4499</v>
      </c>
      <c r="AE9" s="29">
        <f t="shared" si="8"/>
        <v>5111</v>
      </c>
      <c r="AF9" s="29">
        <f t="shared" si="9"/>
        <v>4465</v>
      </c>
      <c r="AG9" s="29">
        <f t="shared" si="10"/>
        <v>2314</v>
      </c>
      <c r="AH9" s="29">
        <f t="shared" si="11"/>
        <v>6707</v>
      </c>
      <c r="AI9" s="31">
        <f t="shared" si="11"/>
        <v>6625</v>
      </c>
    </row>
    <row r="10" spans="2:35" ht="15.75" x14ac:dyDescent="0.25">
      <c r="B10" s="25"/>
      <c r="D10" s="26" t="s">
        <v>74</v>
      </c>
      <c r="E10" s="14">
        <f t="shared" ref="E10:I10" si="12">SUM(E6:E9)</f>
        <v>117812</v>
      </c>
      <c r="F10" s="14">
        <f>SUM(F6:F9)</f>
        <v>80667.798297736299</v>
      </c>
      <c r="G10" s="14">
        <f t="shared" si="12"/>
        <v>103650</v>
      </c>
      <c r="H10" s="14">
        <f t="shared" si="12"/>
        <v>62034</v>
      </c>
      <c r="I10" s="14">
        <f t="shared" si="12"/>
        <v>109563.85984785957</v>
      </c>
      <c r="J10" s="14">
        <f t="shared" ref="J10:Q10" si="13">SUM(J6:J9)</f>
        <v>145939</v>
      </c>
      <c r="K10" s="14">
        <f t="shared" si="13"/>
        <v>31544</v>
      </c>
      <c r="L10" s="14">
        <f t="shared" si="13"/>
        <v>63139</v>
      </c>
      <c r="M10" s="14">
        <f t="shared" si="13"/>
        <v>89609.472215723887</v>
      </c>
      <c r="N10" s="14">
        <f t="shared" si="13"/>
        <v>103635</v>
      </c>
      <c r="O10" s="14">
        <f t="shared" ref="O10" si="14">SUM(O6:O9)</f>
        <v>24108</v>
      </c>
      <c r="P10" s="14">
        <v>44051</v>
      </c>
      <c r="Q10" s="14">
        <f t="shared" si="13"/>
        <v>47447</v>
      </c>
      <c r="R10" s="14">
        <f>SUM(R6:R9)</f>
        <v>33350</v>
      </c>
      <c r="S10" s="14">
        <f>SUM(S6:S9)</f>
        <v>-16806</v>
      </c>
      <c r="T10" s="14">
        <f>SUM(T6:T9)</f>
        <v>-39380</v>
      </c>
      <c r="U10" s="30">
        <f>SUM(U6:U9)</f>
        <v>-47807</v>
      </c>
      <c r="W10" s="14">
        <f t="shared" si="0"/>
        <v>47529.859847859567</v>
      </c>
      <c r="X10" s="14">
        <f t="shared" si="1"/>
        <v>36375.140152140433</v>
      </c>
      <c r="Y10" s="14">
        <f t="shared" si="4"/>
        <v>31544</v>
      </c>
      <c r="Z10" s="14">
        <f t="shared" si="5"/>
        <v>31595</v>
      </c>
      <c r="AA10" s="14">
        <f t="shared" si="6"/>
        <v>26470.472215723887</v>
      </c>
      <c r="AB10" s="14">
        <f t="shared" si="2"/>
        <v>14025.527784276113</v>
      </c>
      <c r="AC10" s="14">
        <f t="shared" si="3"/>
        <v>24108</v>
      </c>
      <c r="AD10" s="14">
        <f t="shared" si="7"/>
        <v>19943</v>
      </c>
      <c r="AE10" s="14">
        <f t="shared" si="8"/>
        <v>3396</v>
      </c>
      <c r="AF10" s="14">
        <f t="shared" si="9"/>
        <v>-14097</v>
      </c>
      <c r="AG10" s="14">
        <f t="shared" si="10"/>
        <v>-16806</v>
      </c>
      <c r="AH10" s="14">
        <f t="shared" si="11"/>
        <v>-22574</v>
      </c>
      <c r="AI10" s="30">
        <f t="shared" si="11"/>
        <v>-8427</v>
      </c>
    </row>
    <row r="11" spans="2:35" ht="15.75" x14ac:dyDescent="0.25">
      <c r="B11" s="25"/>
      <c r="D11" s="87" t="s">
        <v>75</v>
      </c>
      <c r="E11" s="29">
        <v>52021</v>
      </c>
      <c r="F11" s="29">
        <v>54355.569459999992</v>
      </c>
      <c r="G11" s="29">
        <v>70687</v>
      </c>
      <c r="H11" s="29">
        <v>34974</v>
      </c>
      <c r="I11" s="29">
        <v>50657.768469999995</v>
      </c>
      <c r="J11" s="29">
        <v>76613</v>
      </c>
      <c r="K11" s="29">
        <v>13376</v>
      </c>
      <c r="L11" s="29">
        <v>22769</v>
      </c>
      <c r="M11" s="29">
        <v>39281.246479999987</v>
      </c>
      <c r="N11" s="29">
        <v>57904</v>
      </c>
      <c r="O11" s="29">
        <v>16337</v>
      </c>
      <c r="P11" s="29">
        <v>36794</v>
      </c>
      <c r="Q11" s="29">
        <v>51685</v>
      </c>
      <c r="R11" s="29">
        <v>72406</v>
      </c>
      <c r="S11" s="29">
        <v>15432</v>
      </c>
      <c r="T11" s="29">
        <v>27400</v>
      </c>
      <c r="U11" s="31">
        <v>38806</v>
      </c>
      <c r="W11" s="29">
        <f t="shared" si="0"/>
        <v>15683.768469999995</v>
      </c>
      <c r="X11" s="29">
        <f t="shared" si="1"/>
        <v>25955.231530000005</v>
      </c>
      <c r="Y11" s="29">
        <f t="shared" si="4"/>
        <v>13376</v>
      </c>
      <c r="Z11" s="29">
        <f t="shared" si="5"/>
        <v>9393</v>
      </c>
      <c r="AA11" s="29">
        <f t="shared" si="6"/>
        <v>16512.246479999987</v>
      </c>
      <c r="AB11" s="29">
        <f t="shared" si="2"/>
        <v>18622.753520000013</v>
      </c>
      <c r="AC11" s="29">
        <f t="shared" si="3"/>
        <v>16337</v>
      </c>
      <c r="AD11" s="29">
        <f t="shared" si="7"/>
        <v>20457</v>
      </c>
      <c r="AE11" s="29">
        <f t="shared" si="8"/>
        <v>14891</v>
      </c>
      <c r="AF11" s="29">
        <f t="shared" si="9"/>
        <v>20721</v>
      </c>
      <c r="AG11" s="29">
        <f t="shared" si="10"/>
        <v>15432</v>
      </c>
      <c r="AH11" s="29">
        <f t="shared" si="11"/>
        <v>11968</v>
      </c>
      <c r="AI11" s="31">
        <f t="shared" si="11"/>
        <v>11406</v>
      </c>
    </row>
    <row r="12" spans="2:35" ht="15.75" x14ac:dyDescent="0.25">
      <c r="B12" s="25"/>
      <c r="D12" s="87" t="s">
        <v>76</v>
      </c>
      <c r="E12" s="29">
        <v>-18547</v>
      </c>
      <c r="F12" s="29">
        <v>-32709.224891641526</v>
      </c>
      <c r="G12" s="29">
        <v>-39117</v>
      </c>
      <c r="H12" s="29">
        <v>-21932</v>
      </c>
      <c r="I12" s="29">
        <v>-32428.553819042852</v>
      </c>
      <c r="J12" s="29">
        <v>-47360</v>
      </c>
      <c r="K12" s="29">
        <v>-6437</v>
      </c>
      <c r="L12" s="29">
        <v>-9974</v>
      </c>
      <c r="M12" s="29">
        <v>-17173.93199369132</v>
      </c>
      <c r="N12" s="29">
        <v>-23243</v>
      </c>
      <c r="O12" s="29">
        <v>-9589</v>
      </c>
      <c r="P12" s="29">
        <v>-18414</v>
      </c>
      <c r="Q12" s="29">
        <v>-25662</v>
      </c>
      <c r="R12" s="29">
        <v>-32633</v>
      </c>
      <c r="S12" s="29">
        <v>-6755</v>
      </c>
      <c r="T12" s="29">
        <v>-10479</v>
      </c>
      <c r="U12" s="31">
        <v>-13734</v>
      </c>
      <c r="W12" s="29">
        <f t="shared" si="0"/>
        <v>-10496.553819042852</v>
      </c>
      <c r="X12" s="29">
        <f t="shared" si="1"/>
        <v>-14931.446180957148</v>
      </c>
      <c r="Y12" s="29">
        <f t="shared" si="4"/>
        <v>-6437</v>
      </c>
      <c r="Z12" s="29">
        <f t="shared" si="5"/>
        <v>-3537</v>
      </c>
      <c r="AA12" s="29">
        <f t="shared" si="6"/>
        <v>-7199.9319936913198</v>
      </c>
      <c r="AB12" s="29">
        <f t="shared" si="2"/>
        <v>-6069.0680063086802</v>
      </c>
      <c r="AC12" s="29">
        <f t="shared" si="3"/>
        <v>-9589</v>
      </c>
      <c r="AD12" s="29">
        <f t="shared" si="7"/>
        <v>-8825</v>
      </c>
      <c r="AE12" s="29">
        <f t="shared" si="8"/>
        <v>-7248</v>
      </c>
      <c r="AF12" s="29">
        <f t="shared" si="9"/>
        <v>-6971</v>
      </c>
      <c r="AG12" s="29">
        <f t="shared" si="10"/>
        <v>-6755</v>
      </c>
      <c r="AH12" s="29">
        <f t="shared" si="11"/>
        <v>-3724</v>
      </c>
      <c r="AI12" s="31">
        <f t="shared" si="11"/>
        <v>-3255</v>
      </c>
    </row>
    <row r="13" spans="2:35" ht="15.75" x14ac:dyDescent="0.25">
      <c r="B13" s="25"/>
      <c r="D13" s="26" t="s">
        <v>77</v>
      </c>
      <c r="E13" s="14">
        <f>SUM(E11:E12)</f>
        <v>33474</v>
      </c>
      <c r="F13" s="14">
        <f>SUM(F11:F12)</f>
        <v>21646.344568358465</v>
      </c>
      <c r="G13" s="14">
        <f t="shared" ref="G13:I13" si="15">SUM(G11:G12)</f>
        <v>31570</v>
      </c>
      <c r="H13" s="14">
        <f t="shared" ref="H13" si="16">SUM(H11:H12)</f>
        <v>13042</v>
      </c>
      <c r="I13" s="14">
        <f t="shared" si="15"/>
        <v>18229.214650957143</v>
      </c>
      <c r="J13" s="14">
        <f t="shared" ref="J13:Q13" si="17">SUM(J11:J12)</f>
        <v>29253</v>
      </c>
      <c r="K13" s="14">
        <f t="shared" si="17"/>
        <v>6939</v>
      </c>
      <c r="L13" s="14">
        <f t="shared" si="17"/>
        <v>12795</v>
      </c>
      <c r="M13" s="14">
        <f t="shared" si="17"/>
        <v>22107.314486308667</v>
      </c>
      <c r="N13" s="14">
        <f t="shared" si="17"/>
        <v>34661</v>
      </c>
      <c r="O13" s="14">
        <f t="shared" ref="O13" si="18">SUM(O11:O12)</f>
        <v>6748</v>
      </c>
      <c r="P13" s="14">
        <v>18380</v>
      </c>
      <c r="Q13" s="14">
        <f t="shared" si="17"/>
        <v>26023</v>
      </c>
      <c r="R13" s="14">
        <f>SUM(R11:R12)</f>
        <v>39773</v>
      </c>
      <c r="S13" s="14">
        <f>SUM(S11:S12)</f>
        <v>8677</v>
      </c>
      <c r="T13" s="14">
        <f>SUM(T11:T12)</f>
        <v>16921</v>
      </c>
      <c r="U13" s="30">
        <f>SUM(U11:U12)</f>
        <v>25072</v>
      </c>
      <c r="W13" s="14">
        <f t="shared" si="0"/>
        <v>5187.214650957143</v>
      </c>
      <c r="X13" s="14">
        <f t="shared" si="1"/>
        <v>11023.785349042857</v>
      </c>
      <c r="Y13" s="14">
        <f t="shared" si="4"/>
        <v>6939</v>
      </c>
      <c r="Z13" s="14">
        <f t="shared" si="5"/>
        <v>5856</v>
      </c>
      <c r="AA13" s="14">
        <f t="shared" si="6"/>
        <v>9312.3144863086673</v>
      </c>
      <c r="AB13" s="14">
        <f t="shared" si="2"/>
        <v>12553.685513691333</v>
      </c>
      <c r="AC13" s="14">
        <f t="shared" si="3"/>
        <v>6748</v>
      </c>
      <c r="AD13" s="14">
        <f t="shared" si="7"/>
        <v>11632</v>
      </c>
      <c r="AE13" s="14">
        <f t="shared" si="8"/>
        <v>7643</v>
      </c>
      <c r="AF13" s="14">
        <f t="shared" si="9"/>
        <v>13750</v>
      </c>
      <c r="AG13" s="14">
        <f t="shared" si="10"/>
        <v>8677</v>
      </c>
      <c r="AH13" s="14">
        <f t="shared" si="11"/>
        <v>8244</v>
      </c>
      <c r="AI13" s="30">
        <f t="shared" si="11"/>
        <v>8151</v>
      </c>
    </row>
    <row r="14" spans="2:35" ht="15.75" x14ac:dyDescent="0.25">
      <c r="B14" s="25"/>
      <c r="D14" s="26" t="s">
        <v>78</v>
      </c>
      <c r="E14" s="14">
        <f>SUM(E13,E10)</f>
        <v>151286</v>
      </c>
      <c r="F14" s="14">
        <f>SUM(F13,F10)</f>
        <v>102314.14286609477</v>
      </c>
      <c r="G14" s="14">
        <f t="shared" ref="G14:I14" si="19">SUM(G13,G10)</f>
        <v>135220</v>
      </c>
      <c r="H14" s="14">
        <f t="shared" ref="H14" si="20">SUM(H13,H10)</f>
        <v>75076</v>
      </c>
      <c r="I14" s="14">
        <f t="shared" si="19"/>
        <v>127793.07449881671</v>
      </c>
      <c r="J14" s="14">
        <f t="shared" ref="J14:Q14" si="21">SUM(J13,J10)</f>
        <v>175192</v>
      </c>
      <c r="K14" s="14">
        <f t="shared" si="21"/>
        <v>38483</v>
      </c>
      <c r="L14" s="14">
        <f t="shared" si="21"/>
        <v>75934</v>
      </c>
      <c r="M14" s="14">
        <f t="shared" si="21"/>
        <v>111716.78670203255</v>
      </c>
      <c r="N14" s="14">
        <f t="shared" si="21"/>
        <v>138296</v>
      </c>
      <c r="O14" s="14">
        <f t="shared" ref="O14" si="22">SUM(O13,O10)</f>
        <v>30856</v>
      </c>
      <c r="P14" s="14">
        <v>62431</v>
      </c>
      <c r="Q14" s="14">
        <f t="shared" si="21"/>
        <v>73470</v>
      </c>
      <c r="R14" s="14">
        <f>SUM(R13,R10)</f>
        <v>73123</v>
      </c>
      <c r="S14" s="14">
        <f>SUM(S13,S10)</f>
        <v>-8129</v>
      </c>
      <c r="T14" s="14">
        <f>SUM(T13,T10)</f>
        <v>-22459</v>
      </c>
      <c r="U14" s="30">
        <f>SUM(U13,U10)</f>
        <v>-22735</v>
      </c>
      <c r="W14" s="14">
        <f t="shared" si="0"/>
        <v>52717.074498816713</v>
      </c>
      <c r="X14" s="14">
        <f t="shared" si="1"/>
        <v>47398.925501183287</v>
      </c>
      <c r="Y14" s="14">
        <f t="shared" si="4"/>
        <v>38483</v>
      </c>
      <c r="Z14" s="14">
        <f t="shared" si="5"/>
        <v>37451</v>
      </c>
      <c r="AA14" s="14">
        <f t="shared" si="6"/>
        <v>35782.78670203255</v>
      </c>
      <c r="AB14" s="14">
        <f t="shared" si="2"/>
        <v>26579.21329796745</v>
      </c>
      <c r="AC14" s="14">
        <f t="shared" si="3"/>
        <v>30856</v>
      </c>
      <c r="AD14" s="14">
        <f t="shared" si="7"/>
        <v>31575</v>
      </c>
      <c r="AE14" s="14">
        <f>Q14-P14</f>
        <v>11039</v>
      </c>
      <c r="AF14" s="14">
        <f t="shared" si="9"/>
        <v>-347</v>
      </c>
      <c r="AG14" s="14">
        <f t="shared" si="10"/>
        <v>-8129</v>
      </c>
      <c r="AH14" s="14">
        <f t="shared" si="11"/>
        <v>-14330</v>
      </c>
      <c r="AI14" s="30">
        <f t="shared" si="11"/>
        <v>-276</v>
      </c>
    </row>
    <row r="15" spans="2:35" ht="15.75" x14ac:dyDescent="0.25">
      <c r="B15" s="25"/>
      <c r="D15" s="87" t="s">
        <v>79</v>
      </c>
      <c r="E15" s="29">
        <v>4677</v>
      </c>
      <c r="F15" s="29">
        <v>5809.7359739047224</v>
      </c>
      <c r="G15" s="29">
        <v>7617</v>
      </c>
      <c r="H15" s="29">
        <v>3444</v>
      </c>
      <c r="I15" s="29">
        <v>5116.6454408655263</v>
      </c>
      <c r="J15" s="29">
        <v>4432</v>
      </c>
      <c r="K15" s="29">
        <v>944</v>
      </c>
      <c r="L15" s="29">
        <v>1684</v>
      </c>
      <c r="M15" s="29">
        <v>3360.7093052500841</v>
      </c>
      <c r="N15" s="29">
        <v>6884</v>
      </c>
      <c r="O15" s="29">
        <v>1429</v>
      </c>
      <c r="P15" s="29">
        <v>2820</v>
      </c>
      <c r="Q15" s="29">
        <v>3712</v>
      </c>
      <c r="R15" s="29">
        <v>5635</v>
      </c>
      <c r="S15" s="29">
        <v>1083</v>
      </c>
      <c r="T15" s="29">
        <v>1955</v>
      </c>
      <c r="U15" s="31">
        <v>2759</v>
      </c>
      <c r="W15" s="29">
        <f t="shared" si="0"/>
        <v>1672.6454408655263</v>
      </c>
      <c r="X15" s="29">
        <f t="shared" si="1"/>
        <v>-684.64544086552633</v>
      </c>
      <c r="Y15" s="29">
        <f t="shared" si="4"/>
        <v>944</v>
      </c>
      <c r="Z15" s="29">
        <f t="shared" si="5"/>
        <v>740</v>
      </c>
      <c r="AA15" s="29">
        <f t="shared" si="6"/>
        <v>1676.7093052500841</v>
      </c>
      <c r="AB15" s="29">
        <f t="shared" si="2"/>
        <v>3523.2906947499159</v>
      </c>
      <c r="AC15" s="29">
        <f t="shared" si="3"/>
        <v>1429</v>
      </c>
      <c r="AD15" s="29">
        <f t="shared" si="7"/>
        <v>1391</v>
      </c>
      <c r="AE15" s="29">
        <f t="shared" si="8"/>
        <v>892</v>
      </c>
      <c r="AF15" s="29">
        <f t="shared" si="9"/>
        <v>1923</v>
      </c>
      <c r="AG15" s="29">
        <f t="shared" si="10"/>
        <v>1083</v>
      </c>
      <c r="AH15" s="29">
        <f t="shared" si="11"/>
        <v>872</v>
      </c>
      <c r="AI15" s="31">
        <f t="shared" si="11"/>
        <v>804</v>
      </c>
    </row>
    <row r="16" spans="2:35" ht="15.75" x14ac:dyDescent="0.25">
      <c r="B16" s="25"/>
      <c r="D16" s="26" t="s">
        <v>80</v>
      </c>
      <c r="E16" s="14">
        <f>SUM(E14:E15)</f>
        <v>155963</v>
      </c>
      <c r="F16" s="14">
        <f>SUM(F14:F15)</f>
        <v>108123.8788399995</v>
      </c>
      <c r="G16" s="14">
        <f t="shared" ref="G16:I16" si="23">SUM(G14:G15)</f>
        <v>142837</v>
      </c>
      <c r="H16" s="14">
        <f t="shared" ref="H16" si="24">SUM(H14:H15)</f>
        <v>78520</v>
      </c>
      <c r="I16" s="14">
        <f t="shared" si="23"/>
        <v>132909.71993968223</v>
      </c>
      <c r="J16" s="14">
        <f t="shared" ref="J16:Q16" si="25">SUM(J14:J15)</f>
        <v>179624</v>
      </c>
      <c r="K16" s="14">
        <f t="shared" si="25"/>
        <v>39427</v>
      </c>
      <c r="L16" s="14">
        <f t="shared" si="25"/>
        <v>77618</v>
      </c>
      <c r="M16" s="14">
        <f t="shared" si="25"/>
        <v>115077.49600728264</v>
      </c>
      <c r="N16" s="14">
        <f t="shared" si="25"/>
        <v>145180</v>
      </c>
      <c r="O16" s="14">
        <f t="shared" ref="O16" si="26">SUM(O14:O15)</f>
        <v>32285</v>
      </c>
      <c r="P16" s="14">
        <v>65251</v>
      </c>
      <c r="Q16" s="14">
        <f t="shared" si="25"/>
        <v>77182</v>
      </c>
      <c r="R16" s="14">
        <f>SUM(R14:R15)</f>
        <v>78758</v>
      </c>
      <c r="S16" s="14">
        <f>SUM(S14:S15)</f>
        <v>-7046</v>
      </c>
      <c r="T16" s="14">
        <f>SUM(T14:T15)</f>
        <v>-20504</v>
      </c>
      <c r="U16" s="30">
        <f>SUM(U14:U15)</f>
        <v>-19976</v>
      </c>
      <c r="W16" s="14">
        <f t="shared" si="0"/>
        <v>54389.719939682225</v>
      </c>
      <c r="X16" s="14">
        <f t="shared" si="1"/>
        <v>46714.280060317775</v>
      </c>
      <c r="Y16" s="14">
        <f t="shared" si="4"/>
        <v>39427</v>
      </c>
      <c r="Z16" s="14">
        <f t="shared" si="5"/>
        <v>38191</v>
      </c>
      <c r="AA16" s="14">
        <f t="shared" si="6"/>
        <v>37459.496007282636</v>
      </c>
      <c r="AB16" s="14">
        <f t="shared" si="2"/>
        <v>30102.503992717364</v>
      </c>
      <c r="AC16" s="14">
        <f t="shared" si="3"/>
        <v>32285</v>
      </c>
      <c r="AD16" s="14">
        <f t="shared" si="7"/>
        <v>32966</v>
      </c>
      <c r="AE16" s="14">
        <f t="shared" si="8"/>
        <v>11931</v>
      </c>
      <c r="AF16" s="14">
        <f t="shared" si="9"/>
        <v>1576</v>
      </c>
      <c r="AG16" s="14">
        <f t="shared" si="10"/>
        <v>-7046</v>
      </c>
      <c r="AH16" s="14">
        <f t="shared" si="11"/>
        <v>-13458</v>
      </c>
      <c r="AI16" s="30">
        <f t="shared" si="11"/>
        <v>528</v>
      </c>
    </row>
    <row r="17" spans="2:35" ht="16.5" thickBot="1" x14ac:dyDescent="0.3">
      <c r="B17" s="25"/>
      <c r="D17" s="87" t="s">
        <v>81</v>
      </c>
      <c r="E17" s="29">
        <v>-38752</v>
      </c>
      <c r="F17" s="29">
        <v>-26601.341855272254</v>
      </c>
      <c r="G17" s="29">
        <v>-35542</v>
      </c>
      <c r="H17" s="29">
        <v>-19631</v>
      </c>
      <c r="I17" s="29">
        <v>-33255.541249920563</v>
      </c>
      <c r="J17" s="29">
        <v>-44778</v>
      </c>
      <c r="K17" s="29">
        <v>-9827</v>
      </c>
      <c r="L17" s="29">
        <v>-19408</v>
      </c>
      <c r="M17" s="29">
        <v>-28784.250481820487</v>
      </c>
      <c r="N17" s="29">
        <v>-35043</v>
      </c>
      <c r="O17" s="29">
        <v>-8096</v>
      </c>
      <c r="P17" s="29">
        <v>-16275</v>
      </c>
      <c r="Q17" s="29">
        <v>-18872</v>
      </c>
      <c r="R17" s="29">
        <v>-19235</v>
      </c>
      <c r="S17" s="29">
        <v>1764</v>
      </c>
      <c r="T17" s="29">
        <v>4945</v>
      </c>
      <c r="U17" s="31">
        <v>5288</v>
      </c>
      <c r="W17" s="29">
        <f t="shared" si="0"/>
        <v>-13624.541249920563</v>
      </c>
      <c r="X17" s="29">
        <f t="shared" si="1"/>
        <v>-11522.458750079437</v>
      </c>
      <c r="Y17" s="29">
        <f t="shared" si="4"/>
        <v>-9827</v>
      </c>
      <c r="Z17" s="29">
        <f t="shared" si="5"/>
        <v>-9581</v>
      </c>
      <c r="AA17" s="29">
        <f t="shared" si="6"/>
        <v>-9376.250481820487</v>
      </c>
      <c r="AB17" s="29">
        <f t="shared" si="2"/>
        <v>-6258.749518179513</v>
      </c>
      <c r="AC17" s="29">
        <f t="shared" si="3"/>
        <v>-8096</v>
      </c>
      <c r="AD17" s="29">
        <f t="shared" si="7"/>
        <v>-8179</v>
      </c>
      <c r="AE17" s="29">
        <f t="shared" si="8"/>
        <v>-2597</v>
      </c>
      <c r="AF17" s="29">
        <f t="shared" si="9"/>
        <v>-363</v>
      </c>
      <c r="AG17" s="29">
        <f t="shared" si="10"/>
        <v>1764</v>
      </c>
      <c r="AH17" s="29">
        <f t="shared" si="11"/>
        <v>3181</v>
      </c>
      <c r="AI17" s="31">
        <f t="shared" si="11"/>
        <v>343</v>
      </c>
    </row>
    <row r="18" spans="2:35" ht="16.5" thickBot="1" x14ac:dyDescent="0.3">
      <c r="B18" s="25"/>
      <c r="D18" s="88" t="s">
        <v>82</v>
      </c>
      <c r="E18" s="17">
        <f>SUM(E16:E17)</f>
        <v>117211</v>
      </c>
      <c r="F18" s="17">
        <f>SUM(F16:F17)</f>
        <v>81522.536984727238</v>
      </c>
      <c r="G18" s="17">
        <f t="shared" ref="G18:I18" si="27">SUM(G16:G17)</f>
        <v>107295</v>
      </c>
      <c r="H18" s="17">
        <f t="shared" si="27"/>
        <v>58889</v>
      </c>
      <c r="I18" s="17">
        <f t="shared" si="27"/>
        <v>99654.178689761669</v>
      </c>
      <c r="J18" s="17">
        <f t="shared" ref="J18:Q18" si="28">SUM(J16:J17)</f>
        <v>134846</v>
      </c>
      <c r="K18" s="17">
        <f t="shared" si="28"/>
        <v>29600</v>
      </c>
      <c r="L18" s="17">
        <f t="shared" si="28"/>
        <v>58210</v>
      </c>
      <c r="M18" s="17">
        <f t="shared" si="28"/>
        <v>86293.245525462145</v>
      </c>
      <c r="N18" s="17">
        <f t="shared" si="28"/>
        <v>110137</v>
      </c>
      <c r="O18" s="17">
        <f t="shared" ref="O18" si="29">SUM(O16:O17)</f>
        <v>24189</v>
      </c>
      <c r="P18" s="17">
        <v>48976</v>
      </c>
      <c r="Q18" s="17">
        <f t="shared" si="28"/>
        <v>58310</v>
      </c>
      <c r="R18" s="17">
        <f t="shared" ref="R18:U18" si="30">SUM(R16:R17)</f>
        <v>59523</v>
      </c>
      <c r="S18" s="17">
        <f t="shared" si="30"/>
        <v>-5282</v>
      </c>
      <c r="T18" s="17">
        <f t="shared" si="30"/>
        <v>-15559</v>
      </c>
      <c r="U18" s="24">
        <f t="shared" si="30"/>
        <v>-14688</v>
      </c>
      <c r="W18" s="17">
        <f t="shared" si="0"/>
        <v>40765.178689761669</v>
      </c>
      <c r="X18" s="17">
        <f t="shared" si="1"/>
        <v>35191.821310238331</v>
      </c>
      <c r="Y18" s="17">
        <f t="shared" si="4"/>
        <v>29600</v>
      </c>
      <c r="Z18" s="17">
        <f t="shared" si="5"/>
        <v>28610</v>
      </c>
      <c r="AA18" s="17">
        <f t="shared" si="6"/>
        <v>28083.245525462145</v>
      </c>
      <c r="AB18" s="17">
        <f>N18-M18</f>
        <v>23843.754474537855</v>
      </c>
      <c r="AC18" s="17">
        <f>O18</f>
        <v>24189</v>
      </c>
      <c r="AD18" s="17">
        <f t="shared" si="7"/>
        <v>24787</v>
      </c>
      <c r="AE18" s="17">
        <f t="shared" si="8"/>
        <v>9334</v>
      </c>
      <c r="AF18" s="17">
        <f t="shared" si="9"/>
        <v>1213</v>
      </c>
      <c r="AG18" s="17">
        <f t="shared" si="10"/>
        <v>-5282</v>
      </c>
      <c r="AH18" s="17">
        <f>T18-S18</f>
        <v>-10277</v>
      </c>
      <c r="AI18" s="24">
        <f>U18-T18</f>
        <v>871</v>
      </c>
    </row>
    <row r="19" spans="2:35" s="3" customFormat="1" ht="9" customHeight="1" x14ac:dyDescent="0.25"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2:35" s="3" customFormat="1" x14ac:dyDescent="0.25">
      <c r="E20" s="48"/>
      <c r="F20" s="48"/>
      <c r="G20" s="48"/>
      <c r="H20" s="48"/>
      <c r="I20" s="48"/>
      <c r="J20" s="48"/>
      <c r="K20" s="48"/>
      <c r="L20" s="48"/>
      <c r="M20" s="48"/>
      <c r="S20" s="86"/>
      <c r="T20" s="86"/>
      <c r="U20" s="86" t="s">
        <v>67</v>
      </c>
      <c r="V20" s="86"/>
      <c r="W20" s="48"/>
      <c r="X20" s="48"/>
      <c r="Y20" s="48"/>
      <c r="Z20" s="48"/>
      <c r="AA20" s="48"/>
      <c r="AE20" s="103"/>
      <c r="AG20" s="86"/>
      <c r="AH20" s="86"/>
      <c r="AI20" s="86" t="s">
        <v>67</v>
      </c>
    </row>
    <row r="21" spans="2:35" x14ac:dyDescent="0.25">
      <c r="D21" s="89"/>
      <c r="G21" s="2"/>
    </row>
    <row r="22" spans="2:35" x14ac:dyDescent="0.25">
      <c r="G22" s="6"/>
    </row>
    <row r="23" spans="2:35" ht="15.75" thickBot="1" x14ac:dyDescent="0.3">
      <c r="D23" s="32"/>
      <c r="E23" s="45" t="s">
        <v>6</v>
      </c>
      <c r="F23" s="16" t="s">
        <v>16</v>
      </c>
      <c r="G23" s="45" t="s">
        <v>3</v>
      </c>
      <c r="H23" s="16" t="s">
        <v>17</v>
      </c>
      <c r="I23" s="16" t="s">
        <v>14</v>
      </c>
      <c r="J23" s="45" t="s">
        <v>4</v>
      </c>
      <c r="K23" s="16" t="s">
        <v>21</v>
      </c>
      <c r="L23" s="16" t="s">
        <v>15</v>
      </c>
      <c r="M23" s="16" t="s">
        <v>13</v>
      </c>
      <c r="N23" s="16" t="s">
        <v>19</v>
      </c>
      <c r="O23" s="16" t="s">
        <v>22</v>
      </c>
      <c r="P23" s="16" t="s">
        <v>23</v>
      </c>
      <c r="Q23" s="16" t="s">
        <v>24</v>
      </c>
      <c r="R23" s="45" t="s">
        <v>25</v>
      </c>
      <c r="S23" s="45" t="s">
        <v>26</v>
      </c>
      <c r="T23" s="45" t="s">
        <v>27</v>
      </c>
      <c r="U23" s="21" t="s">
        <v>165</v>
      </c>
      <c r="W23" s="16" t="s">
        <v>87</v>
      </c>
      <c r="X23" s="16" t="s">
        <v>88</v>
      </c>
      <c r="Y23" s="16" t="s">
        <v>89</v>
      </c>
      <c r="Z23" s="16" t="s">
        <v>90</v>
      </c>
      <c r="AA23" s="16" t="s">
        <v>91</v>
      </c>
      <c r="AB23" s="16" t="s">
        <v>92</v>
      </c>
      <c r="AC23" s="16" t="s">
        <v>93</v>
      </c>
      <c r="AD23" s="16" t="s">
        <v>94</v>
      </c>
      <c r="AE23" s="16" t="s">
        <v>95</v>
      </c>
      <c r="AF23" s="16" t="s">
        <v>96</v>
      </c>
      <c r="AG23" s="16" t="s">
        <v>97</v>
      </c>
      <c r="AH23" s="16" t="s">
        <v>98</v>
      </c>
      <c r="AI23" s="21" t="s">
        <v>166</v>
      </c>
    </row>
    <row r="24" spans="2:35" x14ac:dyDescent="0.25">
      <c r="D24" s="85" t="s">
        <v>83</v>
      </c>
      <c r="E24" s="47">
        <f>-E7/E6</f>
        <v>0.64686526463054139</v>
      </c>
      <c r="F24" s="47">
        <f>-F7/F6</f>
        <v>0.67806693457017408</v>
      </c>
      <c r="G24" s="47">
        <f t="shared" ref="G24:I24" si="31">-G7/G6</f>
        <v>0.67970616382104021</v>
      </c>
      <c r="H24" s="47">
        <f t="shared" ref="H24" si="32">-H7/H6</f>
        <v>0.64370165745856356</v>
      </c>
      <c r="I24" s="47">
        <f t="shared" si="31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" si="33">-L7/L6</f>
        <v>0.65341645393389347</v>
      </c>
      <c r="M24" s="47">
        <f t="shared" ref="M24:Q24" si="34">-M7/M6</f>
        <v>0.65935325154689928</v>
      </c>
      <c r="N24" s="47">
        <f t="shared" si="34"/>
        <v>0.67724146056316326</v>
      </c>
      <c r="O24" s="47">
        <f t="shared" si="34"/>
        <v>0.69145899659677246</v>
      </c>
      <c r="P24" s="47">
        <f t="shared" si="34"/>
        <v>0.70226536484213531</v>
      </c>
      <c r="Q24" s="47">
        <f t="shared" si="34"/>
        <v>0.72830126142696971</v>
      </c>
      <c r="R24" s="47">
        <f t="shared" ref="R24:T24" si="35">-R7/R6</f>
        <v>0.75667825463250304</v>
      </c>
      <c r="S24" s="47">
        <f t="shared" si="35"/>
        <v>0.8630382592040301</v>
      </c>
      <c r="T24" s="47">
        <f t="shared" si="35"/>
        <v>0.88871597520432188</v>
      </c>
      <c r="U24" s="101">
        <f t="shared" ref="U24" si="36">-U7/U6</f>
        <v>0.87312832694178921</v>
      </c>
      <c r="W24" s="47">
        <f t="shared" ref="W24:AB24" si="37">-W7/W6</f>
        <v>0.56634394796042486</v>
      </c>
      <c r="X24" s="47">
        <f t="shared" si="37"/>
        <v>0.60702079619173344</v>
      </c>
      <c r="Y24" s="47">
        <f t="shared" si="37"/>
        <v>0.65791687077722216</v>
      </c>
      <c r="Z24" s="47">
        <f t="shared" si="37"/>
        <v>0.64898204519892355</v>
      </c>
      <c r="AA24" s="47">
        <f t="shared" si="37"/>
        <v>0.67098447235863878</v>
      </c>
      <c r="AB24" s="47">
        <f t="shared" si="37"/>
        <v>0.72978463657366088</v>
      </c>
      <c r="AC24" s="47">
        <f t="shared" ref="AC24:AE24" si="38">-AC7/AC6</f>
        <v>0.69145899659677246</v>
      </c>
      <c r="AD24" s="47">
        <f t="shared" si="38"/>
        <v>0.71285344854631749</v>
      </c>
      <c r="AE24" s="47">
        <f t="shared" si="38"/>
        <v>0.77873172613984165</v>
      </c>
      <c r="AF24" s="47">
        <f>-AF7/AF6</f>
        <v>0.83901234567901239</v>
      </c>
      <c r="AG24" s="47">
        <f>-AG7/AG6</f>
        <v>0.8630382592040301</v>
      </c>
      <c r="AH24" s="47">
        <f>-AH7/AH6</f>
        <v>0.91388066289818681</v>
      </c>
      <c r="AI24" s="101">
        <f>-AI7/AI6</f>
        <v>0.84271864338073843</v>
      </c>
    </row>
    <row r="25" spans="2:35" ht="15.75" thickBot="1" x14ac:dyDescent="0.3">
      <c r="D25" s="85" t="s">
        <v>84</v>
      </c>
      <c r="E25" s="47">
        <f>-(E8+E9)/E6</f>
        <v>0.20880839996618844</v>
      </c>
      <c r="F25" s="47">
        <f>-(F8+F9)/F6</f>
        <v>0.19615531286821644</v>
      </c>
      <c r="G25" s="47">
        <f t="shared" ref="G25:I25" si="39">-(G8+G9)/G6</f>
        <v>0.19903201124991518</v>
      </c>
      <c r="H25" s="47">
        <f t="shared" ref="H25" si="40">-(H8+H9)/H6</f>
        <v>0.21349447513812156</v>
      </c>
      <c r="I25" s="47">
        <f t="shared" si="39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" si="41">-(L8+L9)/L6</f>
        <v>0.20176700084634386</v>
      </c>
      <c r="M25" s="47">
        <f t="shared" ref="M25:Q25" si="42">-(M8+M9)/M6</f>
        <v>0.2045721926805609</v>
      </c>
      <c r="N25" s="47">
        <f t="shared" si="42"/>
        <v>0.20535544357944915</v>
      </c>
      <c r="O25" s="47">
        <f t="shared" si="42"/>
        <v>0.19826545175101548</v>
      </c>
      <c r="P25" s="47">
        <f t="shared" si="42"/>
        <v>0.19801285374395289</v>
      </c>
      <c r="Q25" s="47">
        <f t="shared" si="42"/>
        <v>0.20086085784200289</v>
      </c>
      <c r="R25" s="47">
        <f t="shared" ref="R25:T25" si="43">-(R8+R9)/R6</f>
        <v>0.20629280950250209</v>
      </c>
      <c r="S25" s="47">
        <f t="shared" si="43"/>
        <v>0.21045404653725561</v>
      </c>
      <c r="T25" s="47">
        <f t="shared" si="43"/>
        <v>0.19651916816733619</v>
      </c>
      <c r="U25" s="101">
        <f t="shared" ref="U25" si="44">-(U8+U9)/U6</f>
        <v>0.19528075095873162</v>
      </c>
      <c r="W25" s="47">
        <f t="shared" ref="W25:AB25" si="45">-(W8+W9)/W6</f>
        <v>0.21744117129504786</v>
      </c>
      <c r="X25" s="47">
        <f t="shared" si="45"/>
        <v>0.23055395895321951</v>
      </c>
      <c r="Y25" s="47">
        <f t="shared" si="45"/>
        <v>0.19630660024215985</v>
      </c>
      <c r="Z25" s="47">
        <f t="shared" si="45"/>
        <v>0.20714731315486301</v>
      </c>
      <c r="AA25" s="47">
        <f t="shared" si="45"/>
        <v>0.21006805219438179</v>
      </c>
      <c r="AB25" s="47">
        <f t="shared" si="45"/>
        <v>0.20765609256019665</v>
      </c>
      <c r="AC25" s="47">
        <f t="shared" ref="AC25:AD25" si="46">-(AC8+AC9)/AC6</f>
        <v>0.19826545175101548</v>
      </c>
      <c r="AD25" s="47">
        <f t="shared" si="46"/>
        <v>0.1977653581208571</v>
      </c>
      <c r="AE25" s="47">
        <f>-(AE8+AE9)/AE6</f>
        <v>0.20637732506643047</v>
      </c>
      <c r="AF25" s="47">
        <f>-(AF8+AF9)/AF6</f>
        <v>0.22205328135152697</v>
      </c>
      <c r="AG25" s="47">
        <f>-(AG8+AG9)/AG6</f>
        <v>0.21045404653725561</v>
      </c>
      <c r="AH25" s="47">
        <f>-(AH8+AH9)/AH6</f>
        <v>0.18286270190581086</v>
      </c>
      <c r="AI25" s="101">
        <f>-(AI8+AI9)/AI6</f>
        <v>0.19286474343816504</v>
      </c>
    </row>
    <row r="26" spans="2:35" ht="15.75" thickBot="1" x14ac:dyDescent="0.3">
      <c r="D26" s="88" t="s">
        <v>85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47">-(G7+G8+G9)/G6</f>
        <v>0.87873817507095542</v>
      </c>
      <c r="H26" s="49">
        <f t="shared" ref="H26" si="48">-(H7+H8+H9)/H6</f>
        <v>0.85719613259668503</v>
      </c>
      <c r="I26" s="49">
        <f t="shared" si="47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" si="49">-(L7+L8+L9)/L6</f>
        <v>0.85518345478023727</v>
      </c>
      <c r="M26" s="49">
        <f t="shared" ref="M26:Q26" si="50">-(M7+M8+M9)/M6</f>
        <v>0.8639254442274602</v>
      </c>
      <c r="N26" s="49">
        <f t="shared" si="50"/>
        <v>0.88259690414261249</v>
      </c>
      <c r="O26" s="49">
        <f t="shared" si="50"/>
        <v>0.88972444834778786</v>
      </c>
      <c r="P26" s="49">
        <f t="shared" si="50"/>
        <v>0.90027821858608814</v>
      </c>
      <c r="Q26" s="49">
        <f t="shared" si="50"/>
        <v>0.92916211926897252</v>
      </c>
      <c r="R26" s="49">
        <f t="shared" ref="R26:T26" si="51">-(R7+R8+R9)/R6</f>
        <v>0.96297106413500522</v>
      </c>
      <c r="S26" s="49">
        <f t="shared" si="51"/>
        <v>1.0734923057412857</v>
      </c>
      <c r="T26" s="49">
        <f t="shared" si="51"/>
        <v>1.0852351433716581</v>
      </c>
      <c r="U26" s="102">
        <f t="shared" ref="U26" si="52">-(U7+U8+U9)/U6</f>
        <v>1.0684090779005209</v>
      </c>
      <c r="W26" s="49">
        <f t="shared" ref="W26:AB26" si="53">-(W7+W8+W9)/W6</f>
        <v>0.78378511925547267</v>
      </c>
      <c r="X26" s="49">
        <f t="shared" si="53"/>
        <v>0.83757475514495305</v>
      </c>
      <c r="Y26" s="49">
        <f t="shared" si="53"/>
        <v>0.85422347101938201</v>
      </c>
      <c r="Z26" s="49">
        <f t="shared" si="53"/>
        <v>0.85612935835378656</v>
      </c>
      <c r="AA26" s="49">
        <f t="shared" si="53"/>
        <v>0.88105252455302052</v>
      </c>
      <c r="AB26" s="49">
        <f t="shared" si="53"/>
        <v>0.93744072913385756</v>
      </c>
      <c r="AC26" s="49">
        <f t="shared" ref="AC26:AE26" si="54">-(AC7+AC8+AC9)/AC6</f>
        <v>0.88972444834778786</v>
      </c>
      <c r="AD26" s="49">
        <f t="shared" si="54"/>
        <v>0.91061880666717465</v>
      </c>
      <c r="AE26" s="49">
        <f t="shared" si="54"/>
        <v>0.98510905120627212</v>
      </c>
      <c r="AF26" s="49">
        <f>-(AF7+AF8+AF9)/AF6</f>
        <v>1.0610656270305394</v>
      </c>
      <c r="AG26" s="49">
        <f>-(AG7+AG8+AG9)/AG6</f>
        <v>1.0734923057412857</v>
      </c>
      <c r="AH26" s="49">
        <f>-(AH7+AH8+AH9)/AH6</f>
        <v>1.0967433648039977</v>
      </c>
      <c r="AI26" s="102">
        <f>-(AI7+AI8+AI9)/AI6</f>
        <v>1.0355833868189035</v>
      </c>
    </row>
    <row r="29" spans="2:35" x14ac:dyDescent="0.25">
      <c r="AE29" s="74"/>
      <c r="AF29" s="74"/>
    </row>
  </sheetData>
  <hyperlinks>
    <hyperlink ref="B2" location="'Financial Supplement&gt;&gt;&gt;'!A1" display="INDEX" xr:uid="{5C453B55-0A22-41FF-BB55-C1C2509A017E}"/>
  </hyperlinks>
  <pageMargins left="0.7" right="0.7" top="0.75" bottom="0.75" header="0.3" footer="0.3"/>
  <pageSetup paperSize="9" scale="63" orientation="landscape" r:id="rId1"/>
  <colBreaks count="1" manualBreakCount="1">
    <brk id="30" max="1048575" man="1"/>
  </colBreaks>
  <ignoredErrors>
    <ignoredError sqref="R10:U10 E10:O10 Q10" formulaRange="1"/>
    <ignoredError sqref="Y5:Y18 AC5:AC18 AG5:AG18" formula="1"/>
    <ignoredError sqref="Q25:Q26 AE24 AE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V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3" customWidth="1"/>
    <col min="2" max="2" width="10.7109375" style="3" customWidth="1"/>
    <col min="3" max="3" width="1.5703125" style="3" customWidth="1"/>
    <col min="4" max="4" width="14.28515625" style="3" customWidth="1"/>
    <col min="5" max="5" width="11.28515625" style="3" customWidth="1"/>
    <col min="6" max="6" width="11.28515625" style="3" hidden="1" customWidth="1" outlineLevel="1"/>
    <col min="7" max="7" width="11.28515625" style="3" customWidth="1" collapsed="1"/>
    <col min="8" max="9" width="11.28515625" style="3" hidden="1" customWidth="1" outlineLevel="1"/>
    <col min="10" max="10" width="11.28515625" style="3" customWidth="1" collapsed="1"/>
    <col min="11" max="13" width="11.28515625" style="3" hidden="1" customWidth="1" outlineLevel="1"/>
    <col min="14" max="14" width="11.28515625" style="3" customWidth="1" collapsed="1"/>
    <col min="15" max="16" width="11.28515625" style="3" hidden="1" customWidth="1" outlineLevel="1"/>
    <col min="17" max="17" width="11.28515625" style="3" customWidth="1" collapsed="1"/>
    <col min="18" max="18" width="11.28515625" style="3" customWidth="1"/>
    <col min="19" max="20" width="11.28515625" style="3" hidden="1" customWidth="1" outlineLevel="1"/>
    <col min="21" max="21" width="11.28515625" style="3" customWidth="1" collapsed="1"/>
    <col min="22" max="16384" width="11.42578125" style="3"/>
  </cols>
  <sheetData>
    <row r="1" spans="2:22" ht="16.5" customHeight="1" x14ac:dyDescent="0.25"/>
    <row r="2" spans="2:22" ht="18.75" customHeight="1" thickBot="1" x14ac:dyDescent="0.3">
      <c r="B2" s="143" t="s">
        <v>28</v>
      </c>
      <c r="D2" s="19" t="s">
        <v>100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2:22" x14ac:dyDescent="0.25">
      <c r="B3" s="33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2:22" x14ac:dyDescent="0.25">
      <c r="B4" s="33"/>
      <c r="D4" s="36"/>
      <c r="E4" s="169" t="s">
        <v>101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2:22" ht="15.75" thickBot="1" x14ac:dyDescent="0.3">
      <c r="B5" s="33"/>
      <c r="D5" s="32"/>
      <c r="E5" s="42" t="s">
        <v>6</v>
      </c>
      <c r="F5" s="42" t="s">
        <v>16</v>
      </c>
      <c r="G5" s="42" t="s">
        <v>3</v>
      </c>
      <c r="H5" s="42" t="s">
        <v>17</v>
      </c>
      <c r="I5" s="42" t="s">
        <v>14</v>
      </c>
      <c r="J5" s="42" t="s">
        <v>4</v>
      </c>
      <c r="K5" s="42" t="s">
        <v>21</v>
      </c>
      <c r="L5" s="42" t="s">
        <v>15</v>
      </c>
      <c r="M5" s="42" t="s">
        <v>13</v>
      </c>
      <c r="N5" s="42" t="s">
        <v>19</v>
      </c>
      <c r="O5" s="42" t="s">
        <v>22</v>
      </c>
      <c r="P5" s="42" t="s">
        <v>23</v>
      </c>
      <c r="Q5" s="42" t="s">
        <v>24</v>
      </c>
      <c r="R5" s="42" t="s">
        <v>25</v>
      </c>
      <c r="S5" s="42" t="s">
        <v>26</v>
      </c>
      <c r="T5" s="42" t="s">
        <v>27</v>
      </c>
      <c r="U5" s="151" t="s">
        <v>165</v>
      </c>
      <c r="V5" s="145" t="s">
        <v>0</v>
      </c>
    </row>
    <row r="6" spans="2:22" x14ac:dyDescent="0.25">
      <c r="B6" s="33"/>
      <c r="D6" s="85" t="s">
        <v>20</v>
      </c>
      <c r="E6" s="46">
        <v>741178</v>
      </c>
      <c r="F6" s="46">
        <v>573625.1777</v>
      </c>
      <c r="G6" s="46">
        <v>761158.29799999995</v>
      </c>
      <c r="H6" s="46">
        <v>377490.58504999999</v>
      </c>
      <c r="I6" s="46">
        <v>567177.75003999996</v>
      </c>
      <c r="J6" s="46">
        <v>754656.36600000004</v>
      </c>
      <c r="K6" s="46">
        <v>178953</v>
      </c>
      <c r="L6" s="46">
        <v>373701</v>
      </c>
      <c r="M6" s="46">
        <v>563300.91514000006</v>
      </c>
      <c r="N6" s="46">
        <v>748100</v>
      </c>
      <c r="O6" s="46">
        <v>181928</v>
      </c>
      <c r="P6" s="46">
        <v>383206</v>
      </c>
      <c r="Q6" s="46">
        <v>579419</v>
      </c>
      <c r="R6" s="13">
        <v>772787</v>
      </c>
      <c r="S6" s="13">
        <v>191528</v>
      </c>
      <c r="T6" s="13">
        <v>396108</v>
      </c>
      <c r="U6" s="23">
        <v>595240</v>
      </c>
      <c r="V6" s="104">
        <f>+U6/Q6-1</f>
        <v>2.730493822259894E-2</v>
      </c>
    </row>
    <row r="7" spans="2:22" x14ac:dyDescent="0.25">
      <c r="B7" s="33"/>
      <c r="D7" s="85" t="s">
        <v>33</v>
      </c>
      <c r="E7" s="46">
        <v>100691</v>
      </c>
      <c r="F7" s="46">
        <v>82446.400180000026</v>
      </c>
      <c r="G7" s="46">
        <v>111356.549</v>
      </c>
      <c r="H7" s="46">
        <v>59705.956969999999</v>
      </c>
      <c r="I7" s="46">
        <v>89543.79578</v>
      </c>
      <c r="J7" s="46">
        <v>120653.628</v>
      </c>
      <c r="K7" s="46">
        <v>31764</v>
      </c>
      <c r="L7" s="46">
        <v>64779</v>
      </c>
      <c r="M7" s="46">
        <v>97044.810309999986</v>
      </c>
      <c r="N7" s="46">
        <v>131243</v>
      </c>
      <c r="O7" s="46">
        <v>35256</v>
      </c>
      <c r="P7" s="46">
        <v>71667</v>
      </c>
      <c r="Q7" s="46">
        <v>106896</v>
      </c>
      <c r="R7" s="13">
        <v>143713</v>
      </c>
      <c r="S7" s="13">
        <v>37607</v>
      </c>
      <c r="T7" s="13">
        <v>75283</v>
      </c>
      <c r="U7" s="23">
        <v>111604</v>
      </c>
      <c r="V7" s="104">
        <f t="shared" ref="V7:V10" si="0">+U7/Q7-1</f>
        <v>4.4042807962879849E-2</v>
      </c>
    </row>
    <row r="8" spans="2:22" x14ac:dyDescent="0.25">
      <c r="B8" s="33"/>
      <c r="D8" s="85" t="s">
        <v>34</v>
      </c>
      <c r="E8" s="46">
        <v>7518</v>
      </c>
      <c r="F8" s="46">
        <v>12243.391560000002</v>
      </c>
      <c r="G8" s="46">
        <v>15744</v>
      </c>
      <c r="H8" s="46">
        <v>13257.647209999999</v>
      </c>
      <c r="I8" s="46">
        <v>16876.646899999996</v>
      </c>
      <c r="J8" s="46">
        <v>21826</v>
      </c>
      <c r="K8" s="46">
        <v>12002</v>
      </c>
      <c r="L8" s="46">
        <v>16622</v>
      </c>
      <c r="M8" s="46">
        <v>20912.694649999998</v>
      </c>
      <c r="N8" s="46">
        <v>26449</v>
      </c>
      <c r="O8" s="46">
        <v>13760</v>
      </c>
      <c r="P8" s="46">
        <v>18848</v>
      </c>
      <c r="Q8" s="46">
        <v>23304</v>
      </c>
      <c r="R8" s="13">
        <v>29082</v>
      </c>
      <c r="S8" s="13">
        <v>14335</v>
      </c>
      <c r="T8" s="13">
        <v>19803</v>
      </c>
      <c r="U8" s="23">
        <v>24336</v>
      </c>
      <c r="V8" s="104">
        <f t="shared" si="0"/>
        <v>4.4284243048403615E-2</v>
      </c>
    </row>
    <row r="9" spans="2:22" ht="15.75" thickBot="1" x14ac:dyDescent="0.3">
      <c r="B9" s="33"/>
      <c r="D9" s="85" t="s">
        <v>35</v>
      </c>
      <c r="E9" s="46">
        <v>3733</v>
      </c>
      <c r="F9" s="46">
        <v>2922.9176800000005</v>
      </c>
      <c r="G9" s="46">
        <v>3036</v>
      </c>
      <c r="H9" s="46">
        <v>1455.98549</v>
      </c>
      <c r="I9" s="46">
        <v>1458.5712900000001</v>
      </c>
      <c r="J9" s="46">
        <v>1478</v>
      </c>
      <c r="K9" s="46">
        <v>1349</v>
      </c>
      <c r="L9" s="46">
        <v>1363</v>
      </c>
      <c r="M9" s="46">
        <v>1379.12904</v>
      </c>
      <c r="N9" s="46">
        <v>1397</v>
      </c>
      <c r="O9" s="46">
        <v>1061</v>
      </c>
      <c r="P9" s="46">
        <v>1068</v>
      </c>
      <c r="Q9" s="46">
        <v>1082</v>
      </c>
      <c r="R9" s="13">
        <v>1097</v>
      </c>
      <c r="S9" s="13">
        <v>741</v>
      </c>
      <c r="T9" s="13">
        <v>754</v>
      </c>
      <c r="U9" s="23">
        <v>767</v>
      </c>
      <c r="V9" s="104">
        <f t="shared" si="0"/>
        <v>-0.29112754158964882</v>
      </c>
    </row>
    <row r="10" spans="2:22" ht="15.75" thickBot="1" x14ac:dyDescent="0.3">
      <c r="B10" s="33"/>
      <c r="D10" s="88" t="s">
        <v>1</v>
      </c>
      <c r="E10" s="75">
        <f t="shared" ref="E10:K10" si="1">SUM(E6:E9)</f>
        <v>853120</v>
      </c>
      <c r="F10" s="75">
        <f>SUM(F6:F9)</f>
        <v>671237.88711999997</v>
      </c>
      <c r="G10" s="75">
        <f t="shared" si="1"/>
        <v>891294.84699999995</v>
      </c>
      <c r="H10" s="75">
        <f>SUM(H6:H9)</f>
        <v>451910.17472000001</v>
      </c>
      <c r="I10" s="75">
        <f>SUM(I6:I9)</f>
        <v>675056.76401000004</v>
      </c>
      <c r="J10" s="75">
        <f t="shared" si="1"/>
        <v>898613.99400000006</v>
      </c>
      <c r="K10" s="75">
        <f t="shared" si="1"/>
        <v>224068</v>
      </c>
      <c r="L10" s="75">
        <f t="shared" ref="L10:U10" si="2">SUM(L6:L9)</f>
        <v>456465</v>
      </c>
      <c r="M10" s="75">
        <f t="shared" si="2"/>
        <v>682637.54914000002</v>
      </c>
      <c r="N10" s="75">
        <f t="shared" si="2"/>
        <v>907189</v>
      </c>
      <c r="O10" s="75">
        <f t="shared" si="2"/>
        <v>232005</v>
      </c>
      <c r="P10" s="75">
        <f t="shared" si="2"/>
        <v>474789</v>
      </c>
      <c r="Q10" s="75">
        <f t="shared" si="2"/>
        <v>710701</v>
      </c>
      <c r="R10" s="18">
        <f t="shared" si="2"/>
        <v>946679</v>
      </c>
      <c r="S10" s="18">
        <f t="shared" si="2"/>
        <v>244211</v>
      </c>
      <c r="T10" s="18">
        <f t="shared" si="2"/>
        <v>491948</v>
      </c>
      <c r="U10" s="150">
        <f t="shared" si="2"/>
        <v>731947</v>
      </c>
      <c r="V10" s="105">
        <f t="shared" si="0"/>
        <v>2.9894428177250409E-2</v>
      </c>
    </row>
    <row r="11" spans="2:22" x14ac:dyDescent="0.25">
      <c r="B11" s="33"/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/>
      <c r="U11" s="35"/>
    </row>
    <row r="13" spans="2:22" x14ac:dyDescent="0.25">
      <c r="D13" s="36"/>
      <c r="E13" s="169" t="s">
        <v>74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</row>
    <row r="14" spans="2:22" ht="15.75" thickBot="1" x14ac:dyDescent="0.3">
      <c r="D14" s="32"/>
      <c r="E14" s="42" t="s">
        <v>6</v>
      </c>
      <c r="F14" s="42" t="s">
        <v>16</v>
      </c>
      <c r="G14" s="42" t="s">
        <v>3</v>
      </c>
      <c r="H14" s="42" t="s">
        <v>17</v>
      </c>
      <c r="I14" s="42" t="s">
        <v>14</v>
      </c>
      <c r="J14" s="42" t="s">
        <v>4</v>
      </c>
      <c r="K14" s="42" t="s">
        <v>21</v>
      </c>
      <c r="L14" s="42" t="s">
        <v>15</v>
      </c>
      <c r="M14" s="42" t="s">
        <v>13</v>
      </c>
      <c r="N14" s="42" t="s">
        <v>19</v>
      </c>
      <c r="O14" s="42" t="s">
        <v>22</v>
      </c>
      <c r="P14" s="42" t="s">
        <v>23</v>
      </c>
      <c r="Q14" s="42" t="s">
        <v>24</v>
      </c>
      <c r="R14" s="42" t="s">
        <v>25</v>
      </c>
      <c r="S14" s="42" t="s">
        <v>26</v>
      </c>
      <c r="T14" s="42" t="s">
        <v>27</v>
      </c>
      <c r="U14" s="151" t="s">
        <v>165</v>
      </c>
      <c r="V14" s="146" t="s">
        <v>0</v>
      </c>
    </row>
    <row r="15" spans="2:22" x14ac:dyDescent="0.25">
      <c r="D15" s="85" t="s">
        <v>20</v>
      </c>
      <c r="E15" s="46">
        <v>114974</v>
      </c>
      <c r="F15" s="46">
        <v>77269.079859267789</v>
      </c>
      <c r="G15" s="46">
        <v>106533</v>
      </c>
      <c r="H15" s="46">
        <v>58351</v>
      </c>
      <c r="I15" s="46">
        <v>108794.48834439731</v>
      </c>
      <c r="J15" s="46">
        <v>146481</v>
      </c>
      <c r="K15" s="46">
        <v>31111</v>
      </c>
      <c r="L15" s="46">
        <v>60590</v>
      </c>
      <c r="M15" s="46">
        <v>85631.862512646418</v>
      </c>
      <c r="N15" s="46">
        <v>96993</v>
      </c>
      <c r="O15" s="46">
        <v>21431</v>
      </c>
      <c r="P15" s="46">
        <v>39705</v>
      </c>
      <c r="Q15" s="46">
        <v>45364</v>
      </c>
      <c r="R15" s="13">
        <v>34655</v>
      </c>
      <c r="S15" s="13">
        <v>-15052</v>
      </c>
      <c r="T15" s="13">
        <v>-37683</v>
      </c>
      <c r="U15" s="23">
        <v>-43319</v>
      </c>
      <c r="V15" s="104">
        <f t="shared" ref="V15:V19" si="3">+U15/Q15-1</f>
        <v>-1.9549202010404727</v>
      </c>
    </row>
    <row r="16" spans="2:22" x14ac:dyDescent="0.25">
      <c r="D16" s="85" t="s">
        <v>33</v>
      </c>
      <c r="E16" s="46">
        <v>8694</v>
      </c>
      <c r="F16" s="46">
        <v>8624.6461006365007</v>
      </c>
      <c r="G16" s="46">
        <v>12347</v>
      </c>
      <c r="H16" s="46">
        <v>6097</v>
      </c>
      <c r="I16" s="46">
        <v>5427.218407247964</v>
      </c>
      <c r="J16" s="46">
        <v>6684</v>
      </c>
      <c r="K16" s="46">
        <v>500</v>
      </c>
      <c r="L16" s="46">
        <v>5090</v>
      </c>
      <c r="M16" s="46">
        <v>8590.3283707111441</v>
      </c>
      <c r="N16" s="46">
        <v>13171</v>
      </c>
      <c r="O16" s="46">
        <v>2338</v>
      </c>
      <c r="P16" s="46">
        <v>6312</v>
      </c>
      <c r="Q16" s="46">
        <v>6339</v>
      </c>
      <c r="R16" s="13">
        <v>5729</v>
      </c>
      <c r="S16" s="13">
        <v>529</v>
      </c>
      <c r="T16" s="13">
        <v>2787</v>
      </c>
      <c r="U16" s="23">
        <v>2394</v>
      </c>
      <c r="V16" s="104">
        <f t="shared" si="3"/>
        <v>-0.62233790818741119</v>
      </c>
    </row>
    <row r="17" spans="4:22" x14ac:dyDescent="0.25">
      <c r="D17" s="85" t="s">
        <v>34</v>
      </c>
      <c r="E17" s="46">
        <v>-7042</v>
      </c>
      <c r="F17" s="46">
        <v>-6229.9020976889951</v>
      </c>
      <c r="G17" s="46">
        <v>-16346</v>
      </c>
      <c r="H17" s="46">
        <v>-2658</v>
      </c>
      <c r="I17" s="46">
        <v>-5037.0967525568076</v>
      </c>
      <c r="J17" s="46">
        <v>-7890</v>
      </c>
      <c r="K17" s="46">
        <v>-161</v>
      </c>
      <c r="L17" s="46">
        <v>-3006</v>
      </c>
      <c r="M17" s="46">
        <v>-5209.2778021447957</v>
      </c>
      <c r="N17" s="46">
        <v>-7210</v>
      </c>
      <c r="O17" s="46">
        <v>75</v>
      </c>
      <c r="P17" s="46">
        <v>-2371</v>
      </c>
      <c r="Q17" s="46">
        <v>-4704</v>
      </c>
      <c r="R17" s="13">
        <v>-7386</v>
      </c>
      <c r="S17" s="13">
        <v>-2386</v>
      </c>
      <c r="T17" s="13">
        <v>-4659</v>
      </c>
      <c r="U17" s="23">
        <v>-7113</v>
      </c>
      <c r="V17" s="104">
        <f t="shared" si="3"/>
        <v>0.51211734693877542</v>
      </c>
    </row>
    <row r="18" spans="4:22" ht="15.75" thickBot="1" x14ac:dyDescent="0.3">
      <c r="D18" s="85" t="s">
        <v>35</v>
      </c>
      <c r="E18" s="46">
        <v>1186</v>
      </c>
      <c r="F18" s="46">
        <v>1003.9744355210007</v>
      </c>
      <c r="G18" s="46">
        <v>1116</v>
      </c>
      <c r="H18" s="46">
        <v>248</v>
      </c>
      <c r="I18" s="46">
        <v>379.24984877120119</v>
      </c>
      <c r="J18" s="46">
        <v>664</v>
      </c>
      <c r="K18" s="46">
        <v>94</v>
      </c>
      <c r="L18" s="46">
        <v>465</v>
      </c>
      <c r="M18" s="46">
        <v>596.55913451119875</v>
      </c>
      <c r="N18" s="46">
        <v>681</v>
      </c>
      <c r="O18" s="46">
        <v>264</v>
      </c>
      <c r="P18" s="46">
        <v>405</v>
      </c>
      <c r="Q18" s="46">
        <v>448</v>
      </c>
      <c r="R18" s="13">
        <v>352</v>
      </c>
      <c r="S18" s="13">
        <v>103</v>
      </c>
      <c r="T18" s="13">
        <v>175</v>
      </c>
      <c r="U18" s="23">
        <v>231</v>
      </c>
      <c r="V18" s="104">
        <f t="shared" si="3"/>
        <v>-0.484375</v>
      </c>
    </row>
    <row r="19" spans="4:22" ht="15.75" thickBot="1" x14ac:dyDescent="0.3">
      <c r="D19" s="88" t="s">
        <v>1</v>
      </c>
      <c r="E19" s="75">
        <f t="shared" ref="E19:K19" si="4">SUM(E15:E18)</f>
        <v>117812</v>
      </c>
      <c r="F19" s="75">
        <f>SUM(F15:F18)</f>
        <v>80667.798297736299</v>
      </c>
      <c r="G19" s="75">
        <f t="shared" si="4"/>
        <v>103650</v>
      </c>
      <c r="H19" s="75">
        <f>SUM(H15:H18)</f>
        <v>62038</v>
      </c>
      <c r="I19" s="75">
        <f>SUM(I15:I18)</f>
        <v>109563.85984785965</v>
      </c>
      <c r="J19" s="75">
        <f t="shared" si="4"/>
        <v>145939</v>
      </c>
      <c r="K19" s="75">
        <f t="shared" si="4"/>
        <v>31544</v>
      </c>
      <c r="L19" s="75">
        <f t="shared" ref="L19:U19" si="5">SUM(L15:L18)</f>
        <v>63139</v>
      </c>
      <c r="M19" s="75">
        <f t="shared" si="5"/>
        <v>89609.472215723959</v>
      </c>
      <c r="N19" s="75">
        <f t="shared" si="5"/>
        <v>103635</v>
      </c>
      <c r="O19" s="75">
        <f t="shared" si="5"/>
        <v>24108</v>
      </c>
      <c r="P19" s="18">
        <f t="shared" si="5"/>
        <v>44051</v>
      </c>
      <c r="Q19" s="75">
        <f t="shared" si="5"/>
        <v>47447</v>
      </c>
      <c r="R19" s="18">
        <f t="shared" si="5"/>
        <v>33350</v>
      </c>
      <c r="S19" s="18">
        <f t="shared" si="5"/>
        <v>-16806</v>
      </c>
      <c r="T19" s="18">
        <f t="shared" si="5"/>
        <v>-39380</v>
      </c>
      <c r="U19" s="150">
        <f t="shared" si="5"/>
        <v>-47807</v>
      </c>
      <c r="V19" s="105">
        <f t="shared" si="3"/>
        <v>-2.007587413324341</v>
      </c>
    </row>
    <row r="22" spans="4:22" x14ac:dyDescent="0.25">
      <c r="D22" s="36"/>
      <c r="E22" s="169" t="s">
        <v>85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</row>
    <row r="23" spans="4:22" ht="15.75" thickBot="1" x14ac:dyDescent="0.3">
      <c r="D23" s="32"/>
      <c r="E23" s="42" t="s">
        <v>6</v>
      </c>
      <c r="F23" s="42" t="s">
        <v>16</v>
      </c>
      <c r="G23" s="42" t="s">
        <v>3</v>
      </c>
      <c r="H23" s="42" t="s">
        <v>17</v>
      </c>
      <c r="I23" s="42" t="s">
        <v>14</v>
      </c>
      <c r="J23" s="42" t="s">
        <v>4</v>
      </c>
      <c r="K23" s="42" t="s">
        <v>21</v>
      </c>
      <c r="L23" s="42" t="s">
        <v>15</v>
      </c>
      <c r="M23" s="42" t="s">
        <v>13</v>
      </c>
      <c r="N23" s="42" t="s">
        <v>19</v>
      </c>
      <c r="O23" s="42" t="s">
        <v>22</v>
      </c>
      <c r="P23" s="42" t="s">
        <v>23</v>
      </c>
      <c r="Q23" s="42" t="s">
        <v>24</v>
      </c>
      <c r="R23" s="42" t="s">
        <v>25</v>
      </c>
      <c r="S23" s="42" t="s">
        <v>26</v>
      </c>
      <c r="T23" s="42" t="s">
        <v>27</v>
      </c>
      <c r="U23" s="151" t="s">
        <v>165</v>
      </c>
      <c r="V23" s="147" t="s">
        <v>18</v>
      </c>
    </row>
    <row r="24" spans="4:22" x14ac:dyDescent="0.25">
      <c r="D24" s="85" t="s">
        <v>20</v>
      </c>
      <c r="E24" s="43">
        <v>0.83998519180371911</v>
      </c>
      <c r="F24" s="43">
        <v>0.86158632267781621</v>
      </c>
      <c r="G24" s="43">
        <v>0.85763501441249534</v>
      </c>
      <c r="H24" s="43">
        <v>0.84404485621970904</v>
      </c>
      <c r="I24" s="43">
        <v>0.80661844089481582</v>
      </c>
      <c r="J24" s="43">
        <v>0.80536802173783062</v>
      </c>
      <c r="K24" s="43">
        <v>0.83116221798944634</v>
      </c>
      <c r="L24" s="43">
        <v>0.83659919203033395</v>
      </c>
      <c r="M24" s="43">
        <v>0.84690835828096978</v>
      </c>
      <c r="N24" s="43">
        <v>0.87021020482720701</v>
      </c>
      <c r="O24" s="43">
        <v>0.88320280779774274</v>
      </c>
      <c r="P24" s="43">
        <v>0.89279668224564013</v>
      </c>
      <c r="Q24" s="43">
        <v>0.91914849628750372</v>
      </c>
      <c r="R24" s="43">
        <v>0.95399440843884997</v>
      </c>
      <c r="S24" s="43">
        <v>1.0792177171487516</v>
      </c>
      <c r="T24" s="43">
        <v>1.098209282748807</v>
      </c>
      <c r="U24" s="152">
        <v>1.074650863019742</v>
      </c>
      <c r="V24" s="106">
        <f>(U24-Q24)*100</f>
        <v>15.550236673223827</v>
      </c>
    </row>
    <row r="25" spans="4:22" x14ac:dyDescent="0.25">
      <c r="D25" s="85" t="s">
        <v>33</v>
      </c>
      <c r="E25" s="43">
        <v>0.90591520031166817</v>
      </c>
      <c r="F25" s="43">
        <v>0.88654844417606182</v>
      </c>
      <c r="G25" s="43">
        <v>0.87972920319501269</v>
      </c>
      <c r="H25" s="43">
        <v>0.88768668779024995</v>
      </c>
      <c r="I25" s="43">
        <v>0.93426737590583953</v>
      </c>
      <c r="J25" s="43">
        <v>0.94007853262331231</v>
      </c>
      <c r="K25" s="43">
        <v>0.98259656541624618</v>
      </c>
      <c r="L25" s="43">
        <v>0.91249183371729181</v>
      </c>
      <c r="M25" s="43">
        <v>0.90270149047864323</v>
      </c>
      <c r="N25" s="43">
        <v>0.88937857458516889</v>
      </c>
      <c r="O25" s="43">
        <v>0.92431697526867795</v>
      </c>
      <c r="P25" s="43">
        <v>0.89984290950635504</v>
      </c>
      <c r="Q25" s="43">
        <v>0.93413478522890214</v>
      </c>
      <c r="R25" s="43">
        <v>0.95586252590543841</v>
      </c>
      <c r="S25" s="43">
        <v>0.98463683094705656</v>
      </c>
      <c r="T25" s="43">
        <v>0.96009507309460063</v>
      </c>
      <c r="U25" s="152">
        <v>0.97736298649721998</v>
      </c>
      <c r="V25" s="106">
        <f t="shared" ref="V25:V28" si="6">(U25-Q25)*100</f>
        <v>4.3228201268317834</v>
      </c>
    </row>
    <row r="26" spans="4:22" x14ac:dyDescent="0.25">
      <c r="D26" s="85" t="s">
        <v>34</v>
      </c>
      <c r="E26" s="43">
        <v>4.2799254774103401</v>
      </c>
      <c r="F26" s="43">
        <v>2.3088475175085561</v>
      </c>
      <c r="G26" s="43">
        <v>22.852941176470587</v>
      </c>
      <c r="H26" s="43">
        <v>1.5441852187619376</v>
      </c>
      <c r="I26" s="43">
        <v>1.6647337419040928</v>
      </c>
      <c r="J26" s="43">
        <v>1.656405990016639</v>
      </c>
      <c r="K26" s="43">
        <v>1.0528599565326944</v>
      </c>
      <c r="L26" s="43">
        <v>1.4739829706717125</v>
      </c>
      <c r="M26" s="43">
        <v>1.5282904972535181</v>
      </c>
      <c r="N26" s="43">
        <v>1.4811908131874167</v>
      </c>
      <c r="O26" s="43">
        <v>0.98002131060202446</v>
      </c>
      <c r="P26" s="43">
        <v>1.3115637319316689</v>
      </c>
      <c r="Q26" s="43">
        <v>1.40635798203179</v>
      </c>
      <c r="R26" s="43">
        <v>1.4475007573462586</v>
      </c>
      <c r="S26" s="43">
        <v>1.5962018990504747</v>
      </c>
      <c r="T26" s="43">
        <v>1.5778963036467377</v>
      </c>
      <c r="U26" s="152">
        <v>1.5828416912487708</v>
      </c>
      <c r="V26" s="106">
        <f t="shared" si="6"/>
        <v>17.648370921698088</v>
      </c>
    </row>
    <row r="27" spans="4:22" ht="15.75" thickBot="1" x14ac:dyDescent="0.3">
      <c r="D27" s="85" t="s">
        <v>35</v>
      </c>
      <c r="E27" s="43">
        <v>0.63110419906687398</v>
      </c>
      <c r="F27" s="43">
        <v>0.56801466267811263</v>
      </c>
      <c r="G27" s="43">
        <v>0.63316912972085382</v>
      </c>
      <c r="H27" s="43">
        <v>0.76975401576572056</v>
      </c>
      <c r="I27" s="43">
        <v>0.7462364568024481</v>
      </c>
      <c r="J27" s="43">
        <v>0.66899302093718838</v>
      </c>
      <c r="K27" s="43">
        <v>0.71274124047723175</v>
      </c>
      <c r="L27" s="43">
        <v>0.31556677519061266</v>
      </c>
      <c r="M27" s="43">
        <v>0.42239009208261347</v>
      </c>
      <c r="N27" s="43">
        <v>0.50931268712671374</v>
      </c>
      <c r="O27" s="43">
        <v>0.45114345114345117</v>
      </c>
      <c r="P27" s="43">
        <v>0.45047489823609227</v>
      </c>
      <c r="Q27" s="43">
        <v>0.50277469478357384</v>
      </c>
      <c r="R27" s="43">
        <v>0.66948356807511733</v>
      </c>
      <c r="S27" s="43">
        <v>0.55982905982905984</v>
      </c>
      <c r="T27" s="43">
        <v>0.57530000000000003</v>
      </c>
      <c r="U27" s="152">
        <v>0.60980000000000001</v>
      </c>
      <c r="V27" s="106">
        <f t="shared" si="6"/>
        <v>10.702530521642617</v>
      </c>
    </row>
    <row r="28" spans="4:22" ht="15.75" thickBot="1" x14ac:dyDescent="0.3">
      <c r="D28" s="88" t="s">
        <v>1</v>
      </c>
      <c r="E28" s="44">
        <v>0.85567366459672978</v>
      </c>
      <c r="F28" s="44">
        <v>0.8742222474383905</v>
      </c>
      <c r="G28" s="44">
        <v>0.87873817507095542</v>
      </c>
      <c r="H28" s="44">
        <v>0.85718813439399422</v>
      </c>
      <c r="I28" s="44">
        <v>0.83252928017538141</v>
      </c>
      <c r="J28" s="44">
        <v>0.833815961930226</v>
      </c>
      <c r="K28" s="44">
        <v>0.85421891600437738</v>
      </c>
      <c r="L28" s="44">
        <v>0.85518345478023727</v>
      </c>
      <c r="M28" s="44">
        <v>0.8639254442274602</v>
      </c>
      <c r="N28" s="44">
        <v>0.88259779338749644</v>
      </c>
      <c r="O28" s="44">
        <v>0.88972444834778797</v>
      </c>
      <c r="P28" s="44">
        <v>0.90027821858608814</v>
      </c>
      <c r="Q28" s="44">
        <v>0.92916211926897252</v>
      </c>
      <c r="R28" s="44">
        <v>0.96297106413500522</v>
      </c>
      <c r="S28" s="44">
        <v>1.0734923057412857</v>
      </c>
      <c r="T28" s="44">
        <v>1.0852351433716581</v>
      </c>
      <c r="U28" s="153">
        <v>1.0684090779005209</v>
      </c>
      <c r="V28" s="72">
        <f t="shared" si="6"/>
        <v>13.924695863154835</v>
      </c>
    </row>
    <row r="29" spans="4:22" x14ac:dyDescent="0.25"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5"/>
    </row>
    <row r="30" spans="4:22" x14ac:dyDescent="0.25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86"/>
      <c r="U30" s="86"/>
      <c r="V30" s="86" t="s">
        <v>99</v>
      </c>
    </row>
  </sheetData>
  <mergeCells count="3">
    <mergeCell ref="E4:V4"/>
    <mergeCell ref="E13:V13"/>
    <mergeCell ref="E22:V22"/>
  </mergeCells>
  <hyperlinks>
    <hyperlink ref="B2" location="'Financial Supplement&gt;&gt;&gt;'!A1" display="INDEX" xr:uid="{40F54275-3621-4DDE-BC3A-73C1E9A8260B}"/>
  </hyperlinks>
  <pageMargins left="0.7" right="0.7" top="0.75" bottom="0.75" header="0.3" footer="0.3"/>
  <pageSetup paperSize="9" scale="66" orientation="landscape" r:id="rId1"/>
  <ignoredErrors>
    <ignoredError sqref="N11" formulaRange="1"/>
    <ignoredError sqref="T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J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6" width="11" style="4" hidden="1" customWidth="1" outlineLevel="1"/>
    <col min="17" max="17" width="11" style="4" customWidth="1" collapsed="1"/>
    <col min="18" max="18" width="11" style="4" customWidth="1"/>
    <col min="19" max="20" width="11" style="4" hidden="1" customWidth="1" outlineLevel="1"/>
    <col min="21" max="21" width="11" style="4" customWidth="1" collapsed="1"/>
    <col min="22" max="22" width="11" style="4" customWidth="1"/>
    <col min="23" max="23" width="3" style="1" customWidth="1"/>
    <col min="24" max="16384" width="10.85546875" style="4"/>
  </cols>
  <sheetData>
    <row r="1" spans="2:36" ht="16.5" customHeight="1" x14ac:dyDescent="0.2"/>
    <row r="2" spans="2:36" ht="18.75" customHeight="1" thickBot="1" x14ac:dyDescent="0.25">
      <c r="B2" s="143" t="s">
        <v>28</v>
      </c>
      <c r="D2" s="19" t="s">
        <v>102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X2" s="19" t="s">
        <v>86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4" spans="2:36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45" t="s">
        <v>27</v>
      </c>
      <c r="U4" s="100" t="s">
        <v>165</v>
      </c>
      <c r="V4" s="39" t="s">
        <v>0</v>
      </c>
      <c r="W4" s="1"/>
      <c r="X4" s="45" t="s">
        <v>87</v>
      </c>
      <c r="Y4" s="45" t="s">
        <v>88</v>
      </c>
      <c r="Z4" s="45" t="s">
        <v>89</v>
      </c>
      <c r="AA4" s="45" t="s">
        <v>90</v>
      </c>
      <c r="AB4" s="45" t="s">
        <v>91</v>
      </c>
      <c r="AC4" s="45" t="s">
        <v>92</v>
      </c>
      <c r="AD4" s="45" t="s">
        <v>93</v>
      </c>
      <c r="AE4" s="45" t="s">
        <v>94</v>
      </c>
      <c r="AF4" s="45" t="s">
        <v>95</v>
      </c>
      <c r="AG4" s="45" t="s">
        <v>96</v>
      </c>
      <c r="AH4" s="45" t="s">
        <v>97</v>
      </c>
      <c r="AI4" s="45" t="s">
        <v>98</v>
      </c>
      <c r="AJ4" s="100" t="s">
        <v>166</v>
      </c>
    </row>
    <row r="5" spans="2:36" s="3" customFormat="1" x14ac:dyDescent="0.25">
      <c r="D5" s="26" t="s">
        <v>69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110">
        <v>595240</v>
      </c>
      <c r="V5" s="37">
        <f>+U5/Q5-1</f>
        <v>2.730493822259894E-2</v>
      </c>
      <c r="W5" s="1"/>
      <c r="X5" s="76">
        <f>I5-H5</f>
        <v>189687.1649899999</v>
      </c>
      <c r="Y5" s="76">
        <f>J5-I5</f>
        <v>187478.61596000008</v>
      </c>
      <c r="Z5" s="76">
        <f t="shared" ref="Z5:Z8" si="0">K5</f>
        <v>178953</v>
      </c>
      <c r="AA5" s="76">
        <f>L5-K5</f>
        <v>194748</v>
      </c>
      <c r="AB5" s="76">
        <f>M5-L5</f>
        <v>189599.91514000006</v>
      </c>
      <c r="AC5" s="76">
        <f>N5-M5</f>
        <v>184799.08485999994</v>
      </c>
      <c r="AD5" s="76">
        <f t="shared" ref="AD5:AD8" si="1">O5</f>
        <v>181928</v>
      </c>
      <c r="AE5" s="76">
        <f>P5-O5</f>
        <v>201278</v>
      </c>
      <c r="AF5" s="76">
        <f>Q5-P5</f>
        <v>196213</v>
      </c>
      <c r="AG5" s="76">
        <f>R5-Q5</f>
        <v>193368</v>
      </c>
      <c r="AH5" s="76">
        <f>S5</f>
        <v>191528</v>
      </c>
      <c r="AI5" s="76">
        <f>T5-S5</f>
        <v>204580</v>
      </c>
      <c r="AJ5" s="110">
        <f>U5-T5</f>
        <v>199132</v>
      </c>
    </row>
    <row r="6" spans="2:36" s="3" customFormat="1" x14ac:dyDescent="0.25">
      <c r="D6" s="26" t="s">
        <v>70</v>
      </c>
      <c r="E6" s="76">
        <v>718521</v>
      </c>
      <c r="F6" s="77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110">
        <v>580288</v>
      </c>
      <c r="V6" s="37">
        <f t="shared" ref="V6:V10" si="2">+U6/Q6-1</f>
        <v>3.4237663925514861E-2</v>
      </c>
      <c r="W6" s="1"/>
      <c r="X6" s="76">
        <f>I6-H6</f>
        <v>188434.77768000006</v>
      </c>
      <c r="Y6" s="76">
        <f t="shared" ref="Y6:Y9" si="3">J6-I6</f>
        <v>190015.22231999994</v>
      </c>
      <c r="Z6" s="76">
        <f t="shared" si="0"/>
        <v>184280</v>
      </c>
      <c r="AA6" s="76">
        <f t="shared" ref="AA6:AB9" si="4">L6-K6</f>
        <v>186526</v>
      </c>
      <c r="AB6" s="76">
        <f t="shared" si="4"/>
        <v>188544.34435000038</v>
      </c>
      <c r="AC6" s="76">
        <f t="shared" ref="AC6:AC9" si="5">N6-M6</f>
        <v>187941.65564999962</v>
      </c>
      <c r="AD6" s="76">
        <f t="shared" si="1"/>
        <v>183489</v>
      </c>
      <c r="AE6" s="76">
        <f t="shared" ref="AE6:AE9" si="6">P6-O6</f>
        <v>186882</v>
      </c>
      <c r="AF6" s="76">
        <f>Q6-P6</f>
        <v>190707</v>
      </c>
      <c r="AG6" s="76">
        <f t="shared" ref="AG6:AG9" si="7">R6-Q6</f>
        <v>192200</v>
      </c>
      <c r="AH6" s="76">
        <f t="shared" ref="AH6:AH9" si="8">S6</f>
        <v>190008</v>
      </c>
      <c r="AI6" s="76">
        <f t="shared" ref="AI6:AJ9" si="9">T6-S6</f>
        <v>193693</v>
      </c>
      <c r="AJ6" s="110">
        <f t="shared" si="9"/>
        <v>196587</v>
      </c>
    </row>
    <row r="7" spans="2:36" s="3" customFormat="1" x14ac:dyDescent="0.25">
      <c r="D7" s="85" t="s">
        <v>71</v>
      </c>
      <c r="E7" s="46">
        <v>-476725</v>
      </c>
      <c r="F7" s="46">
        <v>-389426.50000539894</v>
      </c>
      <c r="G7" s="46">
        <v>-519666.00000000006</v>
      </c>
      <c r="H7" s="46">
        <v>-245650</v>
      </c>
      <c r="I7" s="46">
        <v>-349852.0986038135</v>
      </c>
      <c r="J7" s="46">
        <v>-465382</v>
      </c>
      <c r="K7" s="46">
        <v>-120874</v>
      </c>
      <c r="L7" s="46">
        <v>-244740</v>
      </c>
      <c r="M7" s="46">
        <v>-374662.88629253145</v>
      </c>
      <c r="N7" s="46">
        <v>-518866</v>
      </c>
      <c r="O7" s="46">
        <v>-128817</v>
      </c>
      <c r="P7" s="46">
        <v>-266484</v>
      </c>
      <c r="Q7" s="46">
        <v>-418306</v>
      </c>
      <c r="R7" s="46">
        <v>-585329</v>
      </c>
      <c r="S7" s="46">
        <v>-168784</v>
      </c>
      <c r="T7" s="46">
        <v>-356828</v>
      </c>
      <c r="U7" s="154">
        <v>-527284</v>
      </c>
      <c r="V7" s="155">
        <f t="shared" si="2"/>
        <v>0.26052220145061278</v>
      </c>
      <c r="W7" s="1"/>
      <c r="X7" s="46">
        <f>I7-H7</f>
        <v>-104202.0986038135</v>
      </c>
      <c r="Y7" s="46">
        <f t="shared" si="3"/>
        <v>-115529.9013961865</v>
      </c>
      <c r="Z7" s="46">
        <f t="shared" si="0"/>
        <v>-120874</v>
      </c>
      <c r="AA7" s="46">
        <f t="shared" si="4"/>
        <v>-123866</v>
      </c>
      <c r="AB7" s="46">
        <f t="shared" si="4"/>
        <v>-129922.88629253145</v>
      </c>
      <c r="AC7" s="46">
        <f t="shared" si="5"/>
        <v>-144203.11370746855</v>
      </c>
      <c r="AD7" s="46">
        <f t="shared" si="1"/>
        <v>-128817</v>
      </c>
      <c r="AE7" s="46">
        <f t="shared" si="6"/>
        <v>-137667</v>
      </c>
      <c r="AF7" s="46">
        <f t="shared" ref="AF7:AF9" si="10">Q7-P7</f>
        <v>-151822</v>
      </c>
      <c r="AG7" s="46">
        <f t="shared" si="7"/>
        <v>-167023</v>
      </c>
      <c r="AH7" s="46">
        <f t="shared" si="8"/>
        <v>-168784</v>
      </c>
      <c r="AI7" s="46">
        <f t="shared" si="9"/>
        <v>-188044</v>
      </c>
      <c r="AJ7" s="154">
        <f t="shared" si="9"/>
        <v>-170456</v>
      </c>
    </row>
    <row r="8" spans="2:36" s="3" customFormat="1" x14ac:dyDescent="0.25">
      <c r="D8" s="85" t="s">
        <v>72</v>
      </c>
      <c r="E8" s="46">
        <v>-154001</v>
      </c>
      <c r="F8" s="46">
        <v>-115432.9615953328</v>
      </c>
      <c r="G8" s="46">
        <v>-152748</v>
      </c>
      <c r="H8" s="46">
        <v>-79437</v>
      </c>
      <c r="I8" s="46">
        <v>-118909.1742417893</v>
      </c>
      <c r="J8" s="46">
        <v>-159468</v>
      </c>
      <c r="K8" s="46">
        <v>-36685</v>
      </c>
      <c r="L8" s="46">
        <v>-75358</v>
      </c>
      <c r="M8" s="46">
        <v>-114751.67075482252</v>
      </c>
      <c r="N8" s="46">
        <v>-154310</v>
      </c>
      <c r="O8" s="46">
        <v>-35791</v>
      </c>
      <c r="P8" s="46">
        <v>-71468</v>
      </c>
      <c r="Q8" s="46">
        <v>-110044</v>
      </c>
      <c r="R8" s="46">
        <v>-150800</v>
      </c>
      <c r="S8" s="46">
        <v>-38667</v>
      </c>
      <c r="T8" s="46">
        <v>-73729</v>
      </c>
      <c r="U8" s="154">
        <v>-112198</v>
      </c>
      <c r="V8" s="155">
        <f t="shared" si="2"/>
        <v>1.9573988586383706E-2</v>
      </c>
      <c r="W8" s="1"/>
      <c r="X8" s="46">
        <f>I8-H8</f>
        <v>-39472.174241789297</v>
      </c>
      <c r="Y8" s="46">
        <f t="shared" si="3"/>
        <v>-40558.825758210703</v>
      </c>
      <c r="Z8" s="46">
        <f t="shared" si="0"/>
        <v>-36685</v>
      </c>
      <c r="AA8" s="46">
        <f t="shared" si="4"/>
        <v>-38673</v>
      </c>
      <c r="AB8" s="46">
        <f t="shared" si="4"/>
        <v>-39393.670754822524</v>
      </c>
      <c r="AC8" s="46">
        <f t="shared" si="5"/>
        <v>-39558.329245177476</v>
      </c>
      <c r="AD8" s="46">
        <f t="shared" si="1"/>
        <v>-35791</v>
      </c>
      <c r="AE8" s="46">
        <f t="shared" si="6"/>
        <v>-35677</v>
      </c>
      <c r="AF8" s="46">
        <f t="shared" si="10"/>
        <v>-38576</v>
      </c>
      <c r="AG8" s="46">
        <f t="shared" si="7"/>
        <v>-40756</v>
      </c>
      <c r="AH8" s="46">
        <f t="shared" si="8"/>
        <v>-38667</v>
      </c>
      <c r="AI8" s="46">
        <f t="shared" si="9"/>
        <v>-35062</v>
      </c>
      <c r="AJ8" s="154">
        <f t="shared" si="9"/>
        <v>-38469</v>
      </c>
    </row>
    <row r="9" spans="2:36" s="3" customFormat="1" ht="15.75" thickBot="1" x14ac:dyDescent="0.3">
      <c r="D9" s="85" t="s">
        <v>73</v>
      </c>
      <c r="E9" s="46">
        <v>27179</v>
      </c>
      <c r="F9" s="46">
        <v>23881.10989</v>
      </c>
      <c r="G9" s="46">
        <v>30638</v>
      </c>
      <c r="H9" s="46">
        <v>9281</v>
      </c>
      <c r="I9" s="46">
        <v>14965.983510000002</v>
      </c>
      <c r="J9" s="46">
        <v>18726</v>
      </c>
      <c r="K9" s="46">
        <v>4390</v>
      </c>
      <c r="L9" s="46">
        <v>9882</v>
      </c>
      <c r="M9" s="46">
        <v>15696.075209999997</v>
      </c>
      <c r="N9" s="46">
        <v>22877</v>
      </c>
      <c r="O9" s="46">
        <v>2550</v>
      </c>
      <c r="P9" s="46">
        <v>7286</v>
      </c>
      <c r="Q9" s="46">
        <v>12636</v>
      </c>
      <c r="R9" s="46">
        <v>17506</v>
      </c>
      <c r="S9" s="46">
        <v>2391</v>
      </c>
      <c r="T9" s="46">
        <v>9173</v>
      </c>
      <c r="U9" s="154">
        <v>15875</v>
      </c>
      <c r="V9" s="155">
        <f t="shared" si="2"/>
        <v>0.25633111744222847</v>
      </c>
      <c r="W9" s="1"/>
      <c r="X9" s="46">
        <f>I9-H9</f>
        <v>5684.9835100000018</v>
      </c>
      <c r="Y9" s="46">
        <f t="shared" si="3"/>
        <v>3760.0164899999982</v>
      </c>
      <c r="Z9" s="46">
        <f>K9</f>
        <v>4390</v>
      </c>
      <c r="AA9" s="46">
        <f t="shared" si="4"/>
        <v>5492</v>
      </c>
      <c r="AB9" s="46">
        <f t="shared" si="4"/>
        <v>5814.0752099999972</v>
      </c>
      <c r="AC9" s="46">
        <f t="shared" si="5"/>
        <v>7180.9247900000028</v>
      </c>
      <c r="AD9" s="46">
        <f>O9</f>
        <v>2550</v>
      </c>
      <c r="AE9" s="46">
        <f t="shared" si="6"/>
        <v>4736</v>
      </c>
      <c r="AF9" s="46">
        <f t="shared" si="10"/>
        <v>5350</v>
      </c>
      <c r="AG9" s="46">
        <f t="shared" si="7"/>
        <v>4870</v>
      </c>
      <c r="AH9" s="46">
        <f t="shared" si="8"/>
        <v>2391</v>
      </c>
      <c r="AI9" s="46">
        <f t="shared" si="9"/>
        <v>6782</v>
      </c>
      <c r="AJ9" s="154">
        <f t="shared" si="9"/>
        <v>6702</v>
      </c>
    </row>
    <row r="10" spans="2:36" s="3" customFormat="1" ht="15.75" thickBot="1" x14ac:dyDescent="0.3">
      <c r="D10" s="88" t="s">
        <v>74</v>
      </c>
      <c r="E10" s="75">
        <f>SUM(E6:E9)</f>
        <v>114974</v>
      </c>
      <c r="F10" s="75">
        <f>SUM(F6:F9)</f>
        <v>77269.079859267804</v>
      </c>
      <c r="G10" s="75">
        <f>SUM(G6:G9)</f>
        <v>106532.99999999994</v>
      </c>
      <c r="H10" s="75">
        <f>SUM(H6:H9)</f>
        <v>58349</v>
      </c>
      <c r="I10" s="75">
        <f>SUM(I6:I9)</f>
        <v>108794.48834439726</v>
      </c>
      <c r="J10" s="75">
        <f t="shared" ref="J10:K10" si="11">SUM(J6:J9)</f>
        <v>146481</v>
      </c>
      <c r="K10" s="75">
        <f t="shared" si="11"/>
        <v>31111</v>
      </c>
      <c r="L10" s="75">
        <f t="shared" ref="L10:U10" si="12">SUM(L6:L9)</f>
        <v>60590</v>
      </c>
      <c r="M10" s="75">
        <f t="shared" si="12"/>
        <v>85631.862512646403</v>
      </c>
      <c r="N10" s="75">
        <f t="shared" si="12"/>
        <v>96993</v>
      </c>
      <c r="O10" s="75">
        <f t="shared" si="12"/>
        <v>21431</v>
      </c>
      <c r="P10" s="75">
        <f t="shared" si="12"/>
        <v>39705</v>
      </c>
      <c r="Q10" s="75">
        <f t="shared" si="12"/>
        <v>45364</v>
      </c>
      <c r="R10" s="18">
        <f t="shared" si="12"/>
        <v>34655</v>
      </c>
      <c r="S10" s="18">
        <f t="shared" si="12"/>
        <v>-15052</v>
      </c>
      <c r="T10" s="18">
        <f t="shared" si="12"/>
        <v>-37683</v>
      </c>
      <c r="U10" s="150">
        <f t="shared" si="12"/>
        <v>-43319</v>
      </c>
      <c r="V10" s="107">
        <f t="shared" si="2"/>
        <v>-1.9549202010404727</v>
      </c>
      <c r="W10" s="1"/>
      <c r="X10" s="75">
        <f t="shared" ref="X10:AC10" si="13">SUM(X6:X9)</f>
        <v>50445.488344397265</v>
      </c>
      <c r="Y10" s="75">
        <f t="shared" si="13"/>
        <v>37686.511655602735</v>
      </c>
      <c r="Z10" s="75">
        <f t="shared" si="13"/>
        <v>31111</v>
      </c>
      <c r="AA10" s="75">
        <f>SUM(AA6:AA9)</f>
        <v>29479</v>
      </c>
      <c r="AB10" s="75">
        <f>SUM(AB6:AB9)</f>
        <v>25041.862512646403</v>
      </c>
      <c r="AC10" s="75">
        <f t="shared" si="13"/>
        <v>11361.137487353595</v>
      </c>
      <c r="AD10" s="75">
        <f t="shared" ref="AD10:AE10" si="14">SUM(AD6:AD9)</f>
        <v>21431</v>
      </c>
      <c r="AE10" s="75">
        <f t="shared" si="14"/>
        <v>18274</v>
      </c>
      <c r="AF10" s="75">
        <f>SUM(AF6:AF9)</f>
        <v>5659</v>
      </c>
      <c r="AG10" s="75">
        <f>SUM(AG6:AG9)</f>
        <v>-10709</v>
      </c>
      <c r="AH10" s="75">
        <f>SUM(AH6:AH9)</f>
        <v>-15052</v>
      </c>
      <c r="AI10" s="75">
        <f>SUM(AI6:AI9)</f>
        <v>-22631</v>
      </c>
      <c r="AJ10" s="111">
        <f>SUM(AJ6:AJ9)</f>
        <v>-5636</v>
      </c>
    </row>
    <row r="11" spans="2:36" s="3" customFormat="1" ht="9" customHeight="1" x14ac:dyDescent="0.25"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  <c r="V11" s="47"/>
      <c r="W11" s="1"/>
    </row>
    <row r="12" spans="2:36" s="3" customFormat="1" x14ac:dyDescent="0.25"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86"/>
      <c r="V12" s="86" t="s">
        <v>67</v>
      </c>
      <c r="W12" s="1"/>
      <c r="AH12" s="86"/>
      <c r="AI12" s="86"/>
      <c r="AJ12" s="86" t="s">
        <v>67</v>
      </c>
    </row>
    <row r="13" spans="2:36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"/>
    </row>
    <row r="14" spans="2:36" s="3" customFormat="1" x14ac:dyDescent="0.25"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7"/>
      <c r="V14" s="47"/>
      <c r="W14" s="1"/>
    </row>
    <row r="15" spans="2:36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45" t="s">
        <v>27</v>
      </c>
      <c r="U15" s="100" t="s">
        <v>165</v>
      </c>
      <c r="V15" s="108" t="s">
        <v>2</v>
      </c>
      <c r="W15" s="1"/>
      <c r="X15" s="45" t="s">
        <v>87</v>
      </c>
      <c r="Y15" s="45" t="s">
        <v>88</v>
      </c>
      <c r="Z15" s="45" t="s">
        <v>89</v>
      </c>
      <c r="AA15" s="45" t="s">
        <v>90</v>
      </c>
      <c r="AB15" s="45" t="s">
        <v>91</v>
      </c>
      <c r="AC15" s="45" t="s">
        <v>92</v>
      </c>
      <c r="AD15" s="45" t="s">
        <v>93</v>
      </c>
      <c r="AE15" s="45" t="s">
        <v>94</v>
      </c>
      <c r="AF15" s="45" t="s">
        <v>95</v>
      </c>
      <c r="AG15" s="45" t="s">
        <v>96</v>
      </c>
      <c r="AH15" s="45" t="s">
        <v>97</v>
      </c>
      <c r="AI15" s="45" t="s">
        <v>98</v>
      </c>
      <c r="AJ15" s="100" t="s">
        <v>166</v>
      </c>
    </row>
    <row r="16" spans="2:36" s="3" customFormat="1" x14ac:dyDescent="0.25">
      <c r="D16" s="85" t="s">
        <v>83</v>
      </c>
      <c r="E16" s="47">
        <f>-E7/E6</f>
        <v>0.66348095601937873</v>
      </c>
      <c r="F16" s="47">
        <f t="shared" ref="F16" si="15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6">-J7/J6</f>
        <v>0.61836155752353494</v>
      </c>
      <c r="K16" s="47">
        <f t="shared" si="16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7">-P7/P6</f>
        <v>0.71950557684051941</v>
      </c>
      <c r="Q16" s="47">
        <f>-Q7/Q6</f>
        <v>0.7455398358160541</v>
      </c>
      <c r="R16" s="47">
        <f>-R7/R6</f>
        <v>0.77704247303120499</v>
      </c>
      <c r="S16" s="47">
        <f>-S7/S6</f>
        <v>0.88829944002357797</v>
      </c>
      <c r="T16" s="47">
        <f>-T7/T6</f>
        <v>0.92996369569013371</v>
      </c>
      <c r="U16" s="101">
        <f>-U7/U6</f>
        <v>0.90865914856071472</v>
      </c>
      <c r="V16" s="106">
        <f>(U16-Q16)*100</f>
        <v>16.311931274466062</v>
      </c>
      <c r="W16" s="1"/>
      <c r="X16" s="47">
        <f t="shared" ref="X16" si="18">-X7/X6</f>
        <v>0.55298761665306551</v>
      </c>
      <c r="Y16" s="47">
        <f t="shared" ref="Y16:AA16" si="19">-Y7/Y6</f>
        <v>0.60800340091503535</v>
      </c>
      <c r="Z16" s="47">
        <f t="shared" si="19"/>
        <v>0.65592576514000434</v>
      </c>
      <c r="AA16" s="47">
        <f t="shared" si="19"/>
        <v>0.66406828002530482</v>
      </c>
      <c r="AB16" s="47">
        <f>-AB7/AB6</f>
        <v>0.68908397512763253</v>
      </c>
      <c r="AC16" s="47">
        <f t="shared" ref="AC16:AF16" si="20">-AC7/AC6</f>
        <v>0.7672759570449641</v>
      </c>
      <c r="AD16" s="47">
        <f t="shared" ref="AD16:AE16" si="21">-AD7/AD6</f>
        <v>0.70204208426663184</v>
      </c>
      <c r="AE16" s="47">
        <f t="shared" si="21"/>
        <v>0.73665200500850803</v>
      </c>
      <c r="AF16" s="47">
        <f t="shared" si="20"/>
        <v>0.79610082482551769</v>
      </c>
      <c r="AG16" s="47">
        <f>-AG7/AG6</f>
        <v>0.86900624349635791</v>
      </c>
      <c r="AH16" s="47">
        <f>-AH7/AH6</f>
        <v>0.88829944002357797</v>
      </c>
      <c r="AI16" s="47">
        <f>-AI7/AI6</f>
        <v>0.97083529089848364</v>
      </c>
      <c r="AJ16" s="101">
        <f>-AJ7/AJ6</f>
        <v>0.86707666325850641</v>
      </c>
    </row>
    <row r="17" spans="4:36" s="3" customFormat="1" ht="15.75" thickBot="1" x14ac:dyDescent="0.3">
      <c r="D17" s="85" t="s">
        <v>84</v>
      </c>
      <c r="E17" s="47">
        <f>-(E8+E9)/E6</f>
        <v>0.17650423578434032</v>
      </c>
      <c r="F17" s="47">
        <f t="shared" ref="F17" si="22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23">-(J8+J9)/J6</f>
        <v>0.18700646421429568</v>
      </c>
      <c r="K17" s="47">
        <f t="shared" si="23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24">-(P8+P9)/P6</f>
        <v>0.1732911054051208</v>
      </c>
      <c r="Q17" s="47">
        <f>-(Q8+Q9)/Q6</f>
        <v>0.1736086604714496</v>
      </c>
      <c r="R17" s="47">
        <f>-(R8+R9)/R6</f>
        <v>0.17695193540764498</v>
      </c>
      <c r="S17" s="47">
        <f>-(S8+S9)/S6</f>
        <v>0.19091827712517367</v>
      </c>
      <c r="T17" s="47">
        <f>-(T8+T9)/T6</f>
        <v>0.16824558705867329</v>
      </c>
      <c r="U17" s="101">
        <f>-(U8+U9)/U6</f>
        <v>0.16599171445902725</v>
      </c>
      <c r="V17" s="106">
        <f t="shared" ref="V17:V18" si="25">(U17-Q17)*100</f>
        <v>-0.76169460124223543</v>
      </c>
      <c r="W17" s="1"/>
      <c r="X17" s="47">
        <f t="shared" ref="X17" si="26">-(X8+X9)/X6</f>
        <v>0.1793044317390641</v>
      </c>
      <c r="Y17" s="47">
        <f t="shared" ref="Y17:AA17" si="27">-(Y8+Y9)/Y6</f>
        <v>0.19366242777243786</v>
      </c>
      <c r="Z17" s="47">
        <f t="shared" si="27"/>
        <v>0.17524962014326026</v>
      </c>
      <c r="AA17" s="47">
        <f t="shared" si="27"/>
        <v>0.17788940951931634</v>
      </c>
      <c r="AB17" s="47">
        <f>-(AB8+AB9)/AB6</f>
        <v>0.17809919284817022</v>
      </c>
      <c r="AC17" s="47">
        <f t="shared" ref="AC17:AF17" si="28">-(AC8+AC9)/AC6</f>
        <v>0.1722737002778848</v>
      </c>
      <c r="AD17" s="47">
        <f t="shared" ref="AD17:AE17" si="29">-(AD8+AD9)/AD6</f>
        <v>0.18116072353111085</v>
      </c>
      <c r="AE17" s="47">
        <f t="shared" si="29"/>
        <v>0.16556436681970441</v>
      </c>
      <c r="AF17" s="47">
        <f t="shared" si="28"/>
        <v>0.17422538239288543</v>
      </c>
      <c r="AG17" s="47">
        <f>-(AG8+AG9)/AG6</f>
        <v>0.18671175858480749</v>
      </c>
      <c r="AH17" s="47">
        <f>-(AH8+AH9)/AH6</f>
        <v>0.19091827712517367</v>
      </c>
      <c r="AI17" s="47">
        <f>-(AI8+AI9)/AI6</f>
        <v>0.14600424382915231</v>
      </c>
      <c r="AJ17" s="101">
        <f>-(AJ8+AJ9)/AJ6</f>
        <v>0.16159257733217355</v>
      </c>
    </row>
    <row r="18" spans="4:36" s="3" customFormat="1" ht="15.75" thickBot="1" x14ac:dyDescent="0.3">
      <c r="D18" s="88" t="s">
        <v>85</v>
      </c>
      <c r="E18" s="49">
        <f>-(E7+E8+E9)/E6</f>
        <v>0.839985191803719</v>
      </c>
      <c r="F18" s="49">
        <f t="shared" ref="F18" si="30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31">-(J7+J8+J9)/J6</f>
        <v>0.80536802173783062</v>
      </c>
      <c r="K18" s="49">
        <f t="shared" si="31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32">-(P7+P8+P9)/P6</f>
        <v>0.89279668224564013</v>
      </c>
      <c r="Q18" s="49">
        <f>-(Q7+Q8+Q9)/Q6</f>
        <v>0.91914849628750372</v>
      </c>
      <c r="R18" s="49">
        <f>-(R7+R8+R9)/R6</f>
        <v>0.95399440843884997</v>
      </c>
      <c r="S18" s="49">
        <f>-(S7+S8+S9)/S6</f>
        <v>1.0792177171487516</v>
      </c>
      <c r="T18" s="49">
        <f>-(T7+T8+T9)/T6</f>
        <v>1.098209282748807</v>
      </c>
      <c r="U18" s="102">
        <f>-(U7+U8+U9)/U6</f>
        <v>1.074650863019742</v>
      </c>
      <c r="V18" s="109">
        <f t="shared" si="25"/>
        <v>15.550236673223827</v>
      </c>
      <c r="W18" s="1"/>
      <c r="X18" s="49">
        <f t="shared" ref="X18" si="33">-(X7+X8+X9)/X6</f>
        <v>0.73229204839212969</v>
      </c>
      <c r="Y18" s="49">
        <f t="shared" ref="Y18:AA18" si="34">-(Y7+Y8+Y9)/Y6</f>
        <v>0.80166582868747316</v>
      </c>
      <c r="Z18" s="49">
        <f t="shared" si="34"/>
        <v>0.83117538528326462</v>
      </c>
      <c r="AA18" s="49">
        <f t="shared" si="34"/>
        <v>0.84195768954462114</v>
      </c>
      <c r="AB18" s="49">
        <f>-(AB7+AB8+AB9)/AB6</f>
        <v>0.86718316797580264</v>
      </c>
      <c r="AC18" s="49">
        <f t="shared" ref="AC18:AF18" si="35">-(AC7+AC8+AC9)/AC6</f>
        <v>0.93954965732284901</v>
      </c>
      <c r="AD18" s="49">
        <f t="shared" ref="AD18:AE18" si="36">-(AD7+AD8+AD9)/AD6</f>
        <v>0.88320280779774263</v>
      </c>
      <c r="AE18" s="49">
        <f t="shared" si="36"/>
        <v>0.90221637182821246</v>
      </c>
      <c r="AF18" s="49">
        <f t="shared" si="35"/>
        <v>0.97032620721840313</v>
      </c>
      <c r="AG18" s="49">
        <f>-(AG7+AG8+AG9)/AG6</f>
        <v>1.0557180020811654</v>
      </c>
      <c r="AH18" s="49">
        <f>-(AH7+AH8+AH9)/AH6</f>
        <v>1.0792177171487516</v>
      </c>
      <c r="AI18" s="49">
        <f>-(AI7+AI8+AI9)/AI6</f>
        <v>1.1168395347276361</v>
      </c>
      <c r="AJ18" s="102">
        <f>-(AJ7+AJ8+AJ9)/AJ6</f>
        <v>1.0286692405906799</v>
      </c>
    </row>
    <row r="19" spans="4:36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35"/>
      <c r="W19" s="46"/>
    </row>
    <row r="20" spans="4:36" s="3" customFormat="1" x14ac:dyDescent="0.25">
      <c r="U20" s="5"/>
      <c r="V20" s="5"/>
      <c r="W20" s="48"/>
    </row>
  </sheetData>
  <hyperlinks>
    <hyperlink ref="B2" location="'Financial Supplement&gt;&gt;&gt;'!A1" display="INDEX" xr:uid="{9C5C5E6C-F791-48F7-8D3E-7B73345F0CFB}"/>
  </hyperlinks>
  <pageMargins left="0.7" right="0.7" top="0.75" bottom="0.75" header="0.3" footer="0.3"/>
  <pageSetup paperSize="9" scale="71" orientation="landscape" r:id="rId1"/>
  <colBreaks count="1" manualBreakCount="1">
    <brk id="31" max="1048575" man="1"/>
  </colBreaks>
  <ignoredErrors>
    <ignoredError sqref="E10:O10 Q10 R10 P10 S10:U10" formulaRange="1"/>
    <ignoredError sqref="Z5:Z10 AD5:AD9 AH5:AH9" formula="1"/>
    <ignoredError sqref="Q17:Q18 AF16:AF18 Q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sheetPr>
    <tabColor theme="2" tint="-9.9978637043366805E-2"/>
  </sheetPr>
  <dimension ref="B1:AJ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6" width="11" style="4" hidden="1" customWidth="1" outlineLevel="1"/>
    <col min="17" max="17" width="11" style="4" customWidth="1" collapsed="1"/>
    <col min="18" max="18" width="11" style="4" customWidth="1"/>
    <col min="19" max="20" width="11" style="96" hidden="1" customWidth="1" outlineLevel="1"/>
    <col min="21" max="21" width="11" style="96" customWidth="1" collapsed="1"/>
    <col min="22" max="22" width="11" style="4" customWidth="1"/>
    <col min="23" max="23" width="3" style="1" customWidth="1"/>
    <col min="24" max="16384" width="10.85546875" style="4"/>
  </cols>
  <sheetData>
    <row r="1" spans="2:36" ht="16.5" customHeight="1" x14ac:dyDescent="0.2"/>
    <row r="2" spans="2:36" ht="18.75" customHeight="1" thickBot="1" x14ac:dyDescent="0.25">
      <c r="B2" s="143" t="s">
        <v>28</v>
      </c>
      <c r="D2" s="19" t="s">
        <v>103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97"/>
      <c r="T2" s="97"/>
      <c r="U2" s="97"/>
      <c r="V2" s="19"/>
      <c r="X2" s="19" t="s">
        <v>86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4" spans="2:36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45" t="s">
        <v>27</v>
      </c>
      <c r="U4" s="100" t="s">
        <v>165</v>
      </c>
      <c r="V4" s="112" t="s">
        <v>0</v>
      </c>
      <c r="W4" s="1"/>
      <c r="X4" s="45" t="s">
        <v>87</v>
      </c>
      <c r="Y4" s="45" t="s">
        <v>88</v>
      </c>
      <c r="Z4" s="45" t="s">
        <v>89</v>
      </c>
      <c r="AA4" s="45" t="s">
        <v>90</v>
      </c>
      <c r="AB4" s="45" t="s">
        <v>91</v>
      </c>
      <c r="AC4" s="45" t="s">
        <v>92</v>
      </c>
      <c r="AD4" s="45" t="s">
        <v>93</v>
      </c>
      <c r="AE4" s="45" t="s">
        <v>94</v>
      </c>
      <c r="AF4" s="45" t="s">
        <v>95</v>
      </c>
      <c r="AG4" s="45" t="s">
        <v>96</v>
      </c>
      <c r="AH4" s="45" t="s">
        <v>97</v>
      </c>
      <c r="AI4" s="45" t="s">
        <v>98</v>
      </c>
      <c r="AJ4" s="100" t="s">
        <v>166</v>
      </c>
    </row>
    <row r="5" spans="2:36" s="3" customFormat="1" x14ac:dyDescent="0.25">
      <c r="D5" s="26" t="s">
        <v>69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110">
        <v>111604</v>
      </c>
      <c r="V5" s="37">
        <f>+U5/Q5-1</f>
        <v>4.4042807962879849E-2</v>
      </c>
      <c r="W5" s="1"/>
      <c r="X5" s="76">
        <f>I5-H5</f>
        <v>29837.838810000001</v>
      </c>
      <c r="Y5" s="76">
        <f>J5-I5</f>
        <v>31109.832219999997</v>
      </c>
      <c r="Z5" s="76">
        <f>K5</f>
        <v>31764</v>
      </c>
      <c r="AA5" s="76">
        <f t="shared" ref="AA5:AA9" si="0">L5-K5</f>
        <v>33015</v>
      </c>
      <c r="AB5" s="76">
        <f>M5-L5</f>
        <v>32265.810309999986</v>
      </c>
      <c r="AC5" s="76">
        <f t="shared" ref="AC5:AC9" si="1">N5-M5</f>
        <v>34198.189690000014</v>
      </c>
      <c r="AD5" s="76">
        <f>O5</f>
        <v>35256</v>
      </c>
      <c r="AE5" s="76">
        <f>P5-O5</f>
        <v>36411</v>
      </c>
      <c r="AF5" s="76">
        <f>Q5-P5</f>
        <v>35229</v>
      </c>
      <c r="AG5" s="76">
        <f>R5-Q5</f>
        <v>36817</v>
      </c>
      <c r="AH5" s="76">
        <f>S5</f>
        <v>37607</v>
      </c>
      <c r="AI5" s="76">
        <f>T5-S5</f>
        <v>37676</v>
      </c>
      <c r="AJ5" s="110">
        <f>U5-T5</f>
        <v>36321</v>
      </c>
    </row>
    <row r="6" spans="2:36" s="3" customFormat="1" x14ac:dyDescent="0.25">
      <c r="D6" s="26" t="s">
        <v>70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110">
        <v>105756</v>
      </c>
      <c r="V6" s="37">
        <f t="shared" ref="V6:V10" si="2">+U6/Q6-1</f>
        <v>9.8854969763720657E-2</v>
      </c>
      <c r="W6" s="1"/>
      <c r="X6" s="76">
        <f>I6-H6</f>
        <v>28281.065399999949</v>
      </c>
      <c r="Y6" s="76">
        <f t="shared" ref="Y6:Y9" si="3">J6-I6</f>
        <v>28980.934600000051</v>
      </c>
      <c r="Z6" s="76">
        <f t="shared" ref="Z6:Z9" si="4">K6</f>
        <v>28726</v>
      </c>
      <c r="AA6" s="76">
        <f t="shared" si="0"/>
        <v>29440</v>
      </c>
      <c r="AB6" s="76">
        <f>M6-L6</f>
        <v>30122.386050000001</v>
      </c>
      <c r="AC6" s="76">
        <f t="shared" si="1"/>
        <v>30778.613949999999</v>
      </c>
      <c r="AD6" s="76">
        <f t="shared" ref="AD6:AD9" si="5">O6</f>
        <v>30892</v>
      </c>
      <c r="AE6" s="76">
        <f>P6-O6</f>
        <v>32129</v>
      </c>
      <c r="AF6" s="76">
        <f t="shared" ref="AF6:AF9" si="6">Q6-P6</f>
        <v>33221</v>
      </c>
      <c r="AG6" s="76">
        <f t="shared" ref="AG6:AG9" si="7">R6-Q6</f>
        <v>33557</v>
      </c>
      <c r="AH6" s="76">
        <f t="shared" ref="AH6:AH9" si="8">S6</f>
        <v>34433</v>
      </c>
      <c r="AI6" s="76">
        <f t="shared" ref="AI6:AJ9" si="9">T6-S6</f>
        <v>35408</v>
      </c>
      <c r="AJ6" s="110">
        <f t="shared" si="9"/>
        <v>35915</v>
      </c>
    </row>
    <row r="7" spans="2:36" s="3" customFormat="1" x14ac:dyDescent="0.25">
      <c r="D7" s="85" t="s">
        <v>71</v>
      </c>
      <c r="E7" s="46">
        <v>-48215</v>
      </c>
      <c r="F7" s="46">
        <v>-39724.096594049995</v>
      </c>
      <c r="G7" s="46">
        <v>-53137</v>
      </c>
      <c r="H7" s="46">
        <v>-28390</v>
      </c>
      <c r="I7" s="46">
        <v>-45994.703035557985</v>
      </c>
      <c r="J7" s="46">
        <v>-63678</v>
      </c>
      <c r="K7" s="46">
        <v>-18299</v>
      </c>
      <c r="L7" s="46">
        <v>-33435</v>
      </c>
      <c r="M7" s="46">
        <v>-49774.005104250042</v>
      </c>
      <c r="N7" s="46">
        <v>-66003</v>
      </c>
      <c r="O7" s="46">
        <v>-18499</v>
      </c>
      <c r="P7" s="46">
        <v>-36183</v>
      </c>
      <c r="Q7" s="46">
        <v>-58937</v>
      </c>
      <c r="R7" s="46">
        <v>-81840</v>
      </c>
      <c r="S7" s="46">
        <v>-24748</v>
      </c>
      <c r="T7" s="46">
        <v>-46179</v>
      </c>
      <c r="U7" s="154">
        <v>-72041</v>
      </c>
      <c r="V7" s="155">
        <f t="shared" si="2"/>
        <v>0.22233910786093625</v>
      </c>
      <c r="W7" s="1"/>
      <c r="X7" s="46">
        <f>I7-H7</f>
        <v>-17604.703035557985</v>
      </c>
      <c r="Y7" s="46">
        <f t="shared" si="3"/>
        <v>-17683.296964442015</v>
      </c>
      <c r="Z7" s="46">
        <f t="shared" si="4"/>
        <v>-18299</v>
      </c>
      <c r="AA7" s="46">
        <f t="shared" si="0"/>
        <v>-15136</v>
      </c>
      <c r="AB7" s="46">
        <f>M7-L7</f>
        <v>-16339.005104250042</v>
      </c>
      <c r="AC7" s="46">
        <f t="shared" si="1"/>
        <v>-16228.994895749958</v>
      </c>
      <c r="AD7" s="46">
        <f t="shared" si="5"/>
        <v>-18499</v>
      </c>
      <c r="AE7" s="46">
        <f>P7-O7</f>
        <v>-17684</v>
      </c>
      <c r="AF7" s="46">
        <f t="shared" si="6"/>
        <v>-22754</v>
      </c>
      <c r="AG7" s="46">
        <f t="shared" si="7"/>
        <v>-22903</v>
      </c>
      <c r="AH7" s="46">
        <f t="shared" si="8"/>
        <v>-24748</v>
      </c>
      <c r="AI7" s="46">
        <f t="shared" si="9"/>
        <v>-21431</v>
      </c>
      <c r="AJ7" s="154">
        <f t="shared" si="9"/>
        <v>-25862</v>
      </c>
    </row>
    <row r="8" spans="2:36" s="3" customFormat="1" x14ac:dyDescent="0.25">
      <c r="D8" s="85" t="s">
        <v>72</v>
      </c>
      <c r="E8" s="46">
        <v>-35037</v>
      </c>
      <c r="F8" s="46">
        <v>-27774.558025313498</v>
      </c>
      <c r="G8" s="46">
        <v>-37209</v>
      </c>
      <c r="H8" s="46">
        <v>-19678</v>
      </c>
      <c r="I8" s="46">
        <v>-30927.286957193995</v>
      </c>
      <c r="J8" s="46">
        <v>-40873</v>
      </c>
      <c r="K8" s="46">
        <v>-9867</v>
      </c>
      <c r="L8" s="46">
        <v>-19550</v>
      </c>
      <c r="M8" s="46">
        <v>-29832.20227503881</v>
      </c>
      <c r="N8" s="46">
        <v>-39888</v>
      </c>
      <c r="O8" s="46">
        <v>-9994</v>
      </c>
      <c r="P8" s="46">
        <v>-20405</v>
      </c>
      <c r="Q8" s="46">
        <v>-30785</v>
      </c>
      <c r="R8" s="46">
        <v>-41989</v>
      </c>
      <c r="S8" s="46">
        <v>-9156</v>
      </c>
      <c r="T8" s="46">
        <v>-20875</v>
      </c>
      <c r="U8" s="154">
        <v>-31321</v>
      </c>
      <c r="V8" s="155">
        <f t="shared" si="2"/>
        <v>1.7411076823128147E-2</v>
      </c>
      <c r="W8" s="1"/>
      <c r="X8" s="46">
        <f>I8-H8</f>
        <v>-11249.286957193995</v>
      </c>
      <c r="Y8" s="46">
        <f t="shared" si="3"/>
        <v>-9945.7130428060045</v>
      </c>
      <c r="Z8" s="46">
        <f t="shared" si="4"/>
        <v>-9867</v>
      </c>
      <c r="AA8" s="46">
        <f t="shared" si="0"/>
        <v>-9683</v>
      </c>
      <c r="AB8" s="46">
        <f>M8-L8</f>
        <v>-10282.20227503881</v>
      </c>
      <c r="AC8" s="46">
        <f t="shared" si="1"/>
        <v>-10055.79772496119</v>
      </c>
      <c r="AD8" s="46">
        <f t="shared" si="5"/>
        <v>-9994</v>
      </c>
      <c r="AE8" s="46">
        <f t="shared" ref="AE8:AE9" si="10">P8-O8</f>
        <v>-10411</v>
      </c>
      <c r="AF8" s="46">
        <f t="shared" si="6"/>
        <v>-10380</v>
      </c>
      <c r="AG8" s="46">
        <f t="shared" si="7"/>
        <v>-11204</v>
      </c>
      <c r="AH8" s="46">
        <f t="shared" si="8"/>
        <v>-9156</v>
      </c>
      <c r="AI8" s="46">
        <f t="shared" si="9"/>
        <v>-11719</v>
      </c>
      <c r="AJ8" s="154">
        <f t="shared" si="9"/>
        <v>-10446</v>
      </c>
    </row>
    <row r="9" spans="2:36" s="3" customFormat="1" ht="15.75" thickBot="1" x14ac:dyDescent="0.3">
      <c r="D9" s="85" t="s">
        <v>73</v>
      </c>
      <c r="E9" s="46">
        <v>-460</v>
      </c>
      <c r="F9" s="46">
        <v>102.78219999999999</v>
      </c>
      <c r="G9" s="46">
        <v>33</v>
      </c>
      <c r="H9" s="46">
        <v>-120</v>
      </c>
      <c r="I9" s="46">
        <v>-215.857</v>
      </c>
      <c r="J9" s="46">
        <v>-311</v>
      </c>
      <c r="K9" s="46">
        <v>-60</v>
      </c>
      <c r="L9" s="46">
        <v>-91</v>
      </c>
      <c r="M9" s="46">
        <v>-91.850300000000004</v>
      </c>
      <c r="N9" s="46">
        <v>-5</v>
      </c>
      <c r="O9" s="46">
        <v>-61</v>
      </c>
      <c r="P9" s="46">
        <v>-121</v>
      </c>
      <c r="Q9" s="46">
        <v>-181</v>
      </c>
      <c r="R9" s="46">
        <v>-241</v>
      </c>
      <c r="S9" s="46">
        <v>0</v>
      </c>
      <c r="T9" s="46">
        <v>0</v>
      </c>
      <c r="U9" s="154">
        <v>0</v>
      </c>
      <c r="V9" s="155">
        <f t="shared" si="2"/>
        <v>-1</v>
      </c>
      <c r="W9" s="1"/>
      <c r="X9" s="46">
        <f>I9-H9</f>
        <v>-95.856999999999999</v>
      </c>
      <c r="Y9" s="46">
        <f t="shared" si="3"/>
        <v>-95.143000000000001</v>
      </c>
      <c r="Z9" s="46">
        <f t="shared" si="4"/>
        <v>-60</v>
      </c>
      <c r="AA9" s="46">
        <f t="shared" si="0"/>
        <v>-31</v>
      </c>
      <c r="AB9" s="46">
        <f>M9-L9</f>
        <v>-0.85030000000000427</v>
      </c>
      <c r="AC9" s="46">
        <f t="shared" si="1"/>
        <v>86.850300000000004</v>
      </c>
      <c r="AD9" s="46">
        <f t="shared" si="5"/>
        <v>-61</v>
      </c>
      <c r="AE9" s="46">
        <f t="shared" si="10"/>
        <v>-60</v>
      </c>
      <c r="AF9" s="46">
        <f t="shared" si="6"/>
        <v>-60</v>
      </c>
      <c r="AG9" s="46">
        <f t="shared" si="7"/>
        <v>-60</v>
      </c>
      <c r="AH9" s="46">
        <f t="shared" si="8"/>
        <v>0</v>
      </c>
      <c r="AI9" s="46">
        <f t="shared" si="9"/>
        <v>0</v>
      </c>
      <c r="AJ9" s="154">
        <f t="shared" si="9"/>
        <v>0</v>
      </c>
    </row>
    <row r="10" spans="2:36" s="3" customFormat="1" ht="15.75" thickBot="1" x14ac:dyDescent="0.3">
      <c r="D10" s="88" t="s">
        <v>74</v>
      </c>
      <c r="E10" s="75">
        <f>SUM(E6:E9)</f>
        <v>8694</v>
      </c>
      <c r="F10" s="75">
        <f>SUM(F6:F9)</f>
        <v>8624.6461006365043</v>
      </c>
      <c r="G10" s="75">
        <f>SUM(G6:G9)</f>
        <v>12347</v>
      </c>
      <c r="H10" s="75">
        <f t="shared" ref="H10:I10" si="11">SUM(H6:H9)</f>
        <v>6096</v>
      </c>
      <c r="I10" s="75">
        <f t="shared" si="11"/>
        <v>5427.2184072479686</v>
      </c>
      <c r="J10" s="75">
        <f t="shared" ref="J10:Q10" si="12">SUM(J6:J9)</f>
        <v>6684</v>
      </c>
      <c r="K10" s="75">
        <f t="shared" si="12"/>
        <v>500</v>
      </c>
      <c r="L10" s="75">
        <f t="shared" si="12"/>
        <v>5090</v>
      </c>
      <c r="M10" s="75">
        <f t="shared" si="12"/>
        <v>8590.3283707111495</v>
      </c>
      <c r="N10" s="75">
        <f t="shared" si="12"/>
        <v>13171</v>
      </c>
      <c r="O10" s="75">
        <f t="shared" ref="O10:P10" si="13">SUM(O6:O9)</f>
        <v>2338</v>
      </c>
      <c r="P10" s="75">
        <f t="shared" si="13"/>
        <v>6312</v>
      </c>
      <c r="Q10" s="75">
        <f t="shared" si="12"/>
        <v>6339</v>
      </c>
      <c r="R10" s="18">
        <f>SUM(R6:R9)</f>
        <v>5729</v>
      </c>
      <c r="S10" s="149">
        <f>SUM(S6:S9)</f>
        <v>529</v>
      </c>
      <c r="T10" s="149">
        <f>SUM(T6:T9)</f>
        <v>2787</v>
      </c>
      <c r="U10" s="150">
        <f>SUM(U6:U9)</f>
        <v>2394</v>
      </c>
      <c r="V10" s="41">
        <f t="shared" si="2"/>
        <v>-0.62233790818741119</v>
      </c>
      <c r="W10" s="1"/>
      <c r="X10" s="75">
        <f t="shared" ref="X10:AC10" si="14">SUM(X6:X9)</f>
        <v>-668.78159275203143</v>
      </c>
      <c r="Y10" s="75">
        <f t="shared" si="14"/>
        <v>1256.7815927520314</v>
      </c>
      <c r="Z10" s="75">
        <f t="shared" si="14"/>
        <v>500</v>
      </c>
      <c r="AA10" s="75">
        <f t="shared" si="14"/>
        <v>4590</v>
      </c>
      <c r="AB10" s="75">
        <f>SUM(AB6:AB9)</f>
        <v>3500.3283707111495</v>
      </c>
      <c r="AC10" s="75">
        <f t="shared" si="14"/>
        <v>4580.6716292888505</v>
      </c>
      <c r="AD10" s="75">
        <f t="shared" ref="AD10:AF10" si="15">SUM(AD6:AD9)</f>
        <v>2338</v>
      </c>
      <c r="AE10" s="75">
        <f t="shared" si="15"/>
        <v>3974</v>
      </c>
      <c r="AF10" s="75">
        <f t="shared" si="15"/>
        <v>27</v>
      </c>
      <c r="AG10" s="75">
        <f>SUM(AG6:AG9)</f>
        <v>-610</v>
      </c>
      <c r="AH10" s="75">
        <f>SUM(AH6:AH9)</f>
        <v>529</v>
      </c>
      <c r="AI10" s="75">
        <f>SUM(AI6:AI9)</f>
        <v>2258</v>
      </c>
      <c r="AJ10" s="111">
        <f>SUM(AJ6:AJ9)</f>
        <v>-393</v>
      </c>
    </row>
    <row r="11" spans="2:36" s="3" customFormat="1" ht="9" customHeight="1" x14ac:dyDescent="0.25"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7"/>
      <c r="W11" s="1"/>
      <c r="X11" s="46"/>
      <c r="Y11" s="46"/>
      <c r="Z11" s="46"/>
      <c r="AA11" s="46"/>
      <c r="AB11" s="46"/>
      <c r="AC11" s="46"/>
      <c r="AD11" s="46"/>
      <c r="AE11" s="46"/>
    </row>
    <row r="12" spans="2:36" s="3" customFormat="1" x14ac:dyDescent="0.25"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86" t="s">
        <v>67</v>
      </c>
      <c r="W12" s="1"/>
      <c r="X12" s="48"/>
      <c r="Y12" s="48"/>
      <c r="Z12" s="48"/>
      <c r="AA12" s="48"/>
      <c r="AB12" s="48"/>
      <c r="AC12" s="48"/>
      <c r="AD12" s="48"/>
      <c r="AE12" s="48"/>
      <c r="AH12" s="86"/>
      <c r="AI12" s="86"/>
      <c r="AJ12" s="86" t="s">
        <v>67</v>
      </c>
    </row>
    <row r="13" spans="2:36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"/>
      <c r="X13" s="48"/>
      <c r="Y13" s="48"/>
      <c r="Z13" s="48"/>
      <c r="AA13" s="48"/>
      <c r="AB13" s="48"/>
      <c r="AC13" s="48"/>
      <c r="AD13" s="48"/>
      <c r="AE13" s="48"/>
    </row>
    <row r="14" spans="2:36" s="3" customFormat="1" x14ac:dyDescent="0.25"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1"/>
      <c r="X14" s="46"/>
      <c r="Y14" s="46"/>
      <c r="Z14" s="46"/>
      <c r="AA14" s="46"/>
      <c r="AB14" s="46"/>
      <c r="AC14" s="46"/>
      <c r="AD14" s="46"/>
      <c r="AE14" s="46"/>
    </row>
    <row r="15" spans="2:36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45" t="s">
        <v>27</v>
      </c>
      <c r="U15" s="100" t="s">
        <v>165</v>
      </c>
      <c r="V15" s="108" t="s">
        <v>2</v>
      </c>
      <c r="W15" s="1"/>
      <c r="X15" s="45" t="s">
        <v>87</v>
      </c>
      <c r="Y15" s="45" t="s">
        <v>88</v>
      </c>
      <c r="Z15" s="45" t="s">
        <v>89</v>
      </c>
      <c r="AA15" s="45" t="s">
        <v>90</v>
      </c>
      <c r="AB15" s="45" t="s">
        <v>91</v>
      </c>
      <c r="AC15" s="45" t="s">
        <v>92</v>
      </c>
      <c r="AD15" s="45" t="s">
        <v>93</v>
      </c>
      <c r="AE15" s="45" t="s">
        <v>94</v>
      </c>
      <c r="AF15" s="45" t="s">
        <v>95</v>
      </c>
      <c r="AG15" s="45" t="s">
        <v>96</v>
      </c>
      <c r="AH15" s="45" t="s">
        <v>97</v>
      </c>
      <c r="AI15" s="45" t="s">
        <v>98</v>
      </c>
      <c r="AJ15" s="100" t="s">
        <v>166</v>
      </c>
    </row>
    <row r="16" spans="2:36" s="3" customFormat="1" x14ac:dyDescent="0.25">
      <c r="D16" s="85" t="s">
        <v>83</v>
      </c>
      <c r="E16" s="47">
        <f>-E7/E6</f>
        <v>0.52177347791268969</v>
      </c>
      <c r="F16" s="47">
        <f t="shared" ref="F16" si="16">-F7/F6</f>
        <v>0.52254440468725705</v>
      </c>
      <c r="G16" s="47">
        <f>-G7/G6</f>
        <v>0.51760179232417691</v>
      </c>
      <c r="H16" s="47">
        <f t="shared" ref="H16:I16" si="17">-H7/H6</f>
        <v>0.52299019969051652</v>
      </c>
      <c r="I16" s="47">
        <f t="shared" si="17"/>
        <v>0.55707220496621823</v>
      </c>
      <c r="J16" s="47">
        <f t="shared" ref="J16:Q16" si="18">-J7/J6</f>
        <v>0.57086762411919745</v>
      </c>
      <c r="K16" s="47">
        <f t="shared" si="18"/>
        <v>0.63701872867785281</v>
      </c>
      <c r="L16" s="47">
        <f t="shared" si="18"/>
        <v>0.57482034178042152</v>
      </c>
      <c r="M16" s="47">
        <f t="shared" si="18"/>
        <v>0.56376616824846848</v>
      </c>
      <c r="N16" s="47">
        <f t="shared" si="18"/>
        <v>0.5543349542694449</v>
      </c>
      <c r="O16" s="47">
        <f t="shared" ref="O16:P16" si="19">-O7/O6</f>
        <v>0.59882817557943802</v>
      </c>
      <c r="P16" s="47">
        <f t="shared" si="19"/>
        <v>0.57414195268243917</v>
      </c>
      <c r="Q16" s="47">
        <f t="shared" si="18"/>
        <v>0.61238336692919926</v>
      </c>
      <c r="R16" s="47">
        <f>-R7/R6</f>
        <v>0.63051333215201966</v>
      </c>
      <c r="S16" s="47">
        <f>-S7/S6</f>
        <v>0.71872912612900419</v>
      </c>
      <c r="T16" s="47">
        <f>-T7/T6</f>
        <v>0.66120187282541776</v>
      </c>
      <c r="U16" s="101">
        <f>-U7/U6</f>
        <v>0.68120012103332195</v>
      </c>
      <c r="V16" s="106">
        <f>(U16-Q16)*100</f>
        <v>6.881675410412269</v>
      </c>
      <c r="W16" s="1"/>
      <c r="X16" s="47">
        <f t="shared" ref="X16" si="20">-X7/X6</f>
        <v>0.62249080034863247</v>
      </c>
      <c r="Y16" s="47">
        <f>-Y7/Y6</f>
        <v>0.61017000343536143</v>
      </c>
      <c r="Z16" s="47">
        <f t="shared" ref="Z16:AA16" si="21">-Z7/Z6</f>
        <v>0.63701872867785281</v>
      </c>
      <c r="AA16" s="47">
        <f t="shared" si="21"/>
        <v>0.51413043478260867</v>
      </c>
      <c r="AB16" s="47">
        <f t="shared" ref="AB16:AI16" si="22">-AB7/AB6</f>
        <v>0.5424206793289551</v>
      </c>
      <c r="AC16" s="47">
        <f t="shared" si="22"/>
        <v>0.527281537827338</v>
      </c>
      <c r="AD16" s="47">
        <f t="shared" si="22"/>
        <v>0.59882817557943802</v>
      </c>
      <c r="AE16" s="47">
        <f t="shared" si="22"/>
        <v>0.5504061751066015</v>
      </c>
      <c r="AF16" s="47">
        <f t="shared" si="22"/>
        <v>0.68492820806116617</v>
      </c>
      <c r="AG16" s="47">
        <f t="shared" si="22"/>
        <v>0.68251035551449768</v>
      </c>
      <c r="AH16" s="47">
        <f t="shared" si="22"/>
        <v>0.71872912612900419</v>
      </c>
      <c r="AI16" s="47">
        <f t="shared" si="22"/>
        <v>0.60525869859918657</v>
      </c>
      <c r="AJ16" s="101">
        <f t="shared" ref="AJ16" si="23">-AJ7/AJ6</f>
        <v>0.7200890992621467</v>
      </c>
    </row>
    <row r="17" spans="4:36" s="3" customFormat="1" ht="15.75" thickBot="1" x14ac:dyDescent="0.3">
      <c r="D17" s="85" t="s">
        <v>84</v>
      </c>
      <c r="E17" s="47">
        <f>-(E8+E9)/E6</f>
        <v>0.38414172239897842</v>
      </c>
      <c r="F17" s="47">
        <f t="shared" ref="F17" si="24">-(F8+F9)/F6</f>
        <v>0.36400403948880483</v>
      </c>
      <c r="G17" s="47">
        <f>-(G8+G9)/G6</f>
        <v>0.36212741087083578</v>
      </c>
      <c r="H17" s="47">
        <f t="shared" ref="H17:I17" si="25">-(H8+H9)/H6</f>
        <v>0.36471151720580652</v>
      </c>
      <c r="I17" s="47">
        <f t="shared" si="25"/>
        <v>0.37719517093962135</v>
      </c>
      <c r="J17" s="47">
        <f t="shared" ref="J17:Q17" si="26">-(J8+J9)/J6</f>
        <v>0.36921090850411492</v>
      </c>
      <c r="K17" s="47">
        <f t="shared" si="26"/>
        <v>0.34557543688644432</v>
      </c>
      <c r="L17" s="47">
        <f t="shared" si="26"/>
        <v>0.33767149193687035</v>
      </c>
      <c r="M17" s="47">
        <f t="shared" si="26"/>
        <v>0.33893532223017464</v>
      </c>
      <c r="N17" s="47">
        <f t="shared" si="26"/>
        <v>0.33504665440466291</v>
      </c>
      <c r="O17" s="47">
        <f t="shared" ref="O17:P17" si="27">-(O8+O9)/O6</f>
        <v>0.32548879968923994</v>
      </c>
      <c r="P17" s="47">
        <f t="shared" si="27"/>
        <v>0.32570095682391581</v>
      </c>
      <c r="Q17" s="47">
        <f t="shared" si="26"/>
        <v>0.32175141829970283</v>
      </c>
      <c r="R17" s="47">
        <f>-(R8+R9)/R6</f>
        <v>0.32534919375341875</v>
      </c>
      <c r="S17" s="47">
        <f>-(S8+S9)/S6</f>
        <v>0.26590770481805243</v>
      </c>
      <c r="T17" s="47">
        <f>-(T8+T9)/T6</f>
        <v>0.29889320026918287</v>
      </c>
      <c r="U17" s="101">
        <f>-(U8+U9)/U6</f>
        <v>0.29616286546389803</v>
      </c>
      <c r="V17" s="106">
        <f t="shared" ref="V17:V18" si="28">(U17-Q17)*100</f>
        <v>-2.5588552835804803</v>
      </c>
      <c r="W17" s="1"/>
      <c r="X17" s="47">
        <f t="shared" ref="X17" si="29">-(X8+X9)/X6</f>
        <v>0.40115687993826482</v>
      </c>
      <c r="Y17" s="47">
        <f>-(Y8+Y9)/Y6</f>
        <v>0.34646419038556425</v>
      </c>
      <c r="Z17" s="47">
        <f t="shared" ref="Z17:AA17" si="30">-(Z8+Z9)/Z6</f>
        <v>0.34557543688644432</v>
      </c>
      <c r="AA17" s="47">
        <f t="shared" si="30"/>
        <v>0.32995923913043479</v>
      </c>
      <c r="AB17" s="47">
        <f t="shared" ref="AB17:AI17" si="31">-(AB8+AB9)/AB6</f>
        <v>0.34137576478735854</v>
      </c>
      <c r="AC17" s="47">
        <f t="shared" si="31"/>
        <v>0.32389201934680334</v>
      </c>
      <c r="AD17" s="47">
        <f t="shared" si="31"/>
        <v>0.32548879968923994</v>
      </c>
      <c r="AE17" s="47">
        <f t="shared" si="31"/>
        <v>0.32590494568769646</v>
      </c>
      <c r="AF17" s="47">
        <f t="shared" si="31"/>
        <v>0.3142590530086391</v>
      </c>
      <c r="AG17" s="47">
        <f t="shared" si="31"/>
        <v>0.3356676699347379</v>
      </c>
      <c r="AH17" s="47">
        <f t="shared" si="31"/>
        <v>0.26590770481805243</v>
      </c>
      <c r="AI17" s="47">
        <f t="shared" si="31"/>
        <v>0.33097040216900137</v>
      </c>
      <c r="AJ17" s="101">
        <f t="shared" ref="AJ17" si="32">-(AJ8+AJ9)/AJ6</f>
        <v>0.29085340387024922</v>
      </c>
    </row>
    <row r="18" spans="4:36" s="3" customFormat="1" ht="15.75" thickBot="1" x14ac:dyDescent="0.3">
      <c r="D18" s="88" t="s">
        <v>85</v>
      </c>
      <c r="E18" s="49">
        <f>-(E7+E8+E9)/E6</f>
        <v>0.90591520031166806</v>
      </c>
      <c r="F18" s="49">
        <f t="shared" ref="F18" si="33">-(F7+F8+F9)/F6</f>
        <v>0.88654844417606171</v>
      </c>
      <c r="G18" s="49">
        <f>-(G7+G8+G9)/G6</f>
        <v>0.87972920319501269</v>
      </c>
      <c r="H18" s="49">
        <f t="shared" ref="H18:I18" si="34">-(H7+H8+H9)/H6</f>
        <v>0.88770171689632305</v>
      </c>
      <c r="I18" s="49">
        <f t="shared" si="34"/>
        <v>0.93426737590583953</v>
      </c>
      <c r="J18" s="49">
        <f t="shared" ref="J18:Q18" si="35">-(J7+J8+J9)/J6</f>
        <v>0.94007853262331231</v>
      </c>
      <c r="K18" s="49">
        <f t="shared" si="35"/>
        <v>0.98259416556429713</v>
      </c>
      <c r="L18" s="49">
        <f t="shared" si="35"/>
        <v>0.91249183371729192</v>
      </c>
      <c r="M18" s="49">
        <f t="shared" si="35"/>
        <v>0.90270149047864334</v>
      </c>
      <c r="N18" s="49">
        <f t="shared" si="35"/>
        <v>0.88938160867410787</v>
      </c>
      <c r="O18" s="49">
        <f t="shared" ref="O18:P18" si="36">-(O7+O8+O9)/O6</f>
        <v>0.92431697526867795</v>
      </c>
      <c r="P18" s="49">
        <f t="shared" si="36"/>
        <v>0.89984290950635504</v>
      </c>
      <c r="Q18" s="49">
        <f t="shared" si="35"/>
        <v>0.93413478522890214</v>
      </c>
      <c r="R18" s="49">
        <f>-(R7+R8+R9)/R6</f>
        <v>0.95586252590543841</v>
      </c>
      <c r="S18" s="49">
        <f>-(S7+S8+S9)/S6</f>
        <v>0.98463683094705656</v>
      </c>
      <c r="T18" s="49">
        <f>-(T7+T8+T9)/T6</f>
        <v>0.96009507309460063</v>
      </c>
      <c r="U18" s="102">
        <f>-(U7+U8+U9)/U6</f>
        <v>0.97736298649721998</v>
      </c>
      <c r="V18" s="109">
        <f t="shared" si="28"/>
        <v>4.3228201268317834</v>
      </c>
      <c r="W18" s="1"/>
      <c r="X18" s="49">
        <f t="shared" ref="X18" si="37">-(X7+X8+X9)/X6</f>
        <v>1.0236476802868972</v>
      </c>
      <c r="Y18" s="49">
        <f>-(Y7+Y8+Y9)/Y6</f>
        <v>0.95663419382092563</v>
      </c>
      <c r="Z18" s="49">
        <f t="shared" ref="Z18:AA18" si="38">-(Z7+Z8+Z9)/Z6</f>
        <v>0.98259416556429713</v>
      </c>
      <c r="AA18" s="49">
        <f t="shared" si="38"/>
        <v>0.84408967391304346</v>
      </c>
      <c r="AB18" s="49">
        <f t="shared" ref="AB18:AI18" si="39">-(AB7+AB8+AB9)/AB6</f>
        <v>0.88379644411631353</v>
      </c>
      <c r="AC18" s="49">
        <f t="shared" si="39"/>
        <v>0.85117355717414145</v>
      </c>
      <c r="AD18" s="49">
        <f t="shared" si="39"/>
        <v>0.92431697526867795</v>
      </c>
      <c r="AE18" s="49">
        <f t="shared" si="39"/>
        <v>0.87631112079429796</v>
      </c>
      <c r="AF18" s="49">
        <f t="shared" si="39"/>
        <v>0.99918726106980527</v>
      </c>
      <c r="AG18" s="49">
        <f t="shared" si="39"/>
        <v>1.0181780254492356</v>
      </c>
      <c r="AH18" s="49">
        <f t="shared" si="39"/>
        <v>0.98463683094705656</v>
      </c>
      <c r="AI18" s="49">
        <f t="shared" si="39"/>
        <v>0.93622910076818799</v>
      </c>
      <c r="AJ18" s="102">
        <f t="shared" ref="AJ18" si="40">-(AJ7+AJ8+AJ9)/AJ6</f>
        <v>1.010942503132396</v>
      </c>
    </row>
    <row r="19" spans="4:36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98"/>
      <c r="T19" s="98"/>
      <c r="U19" s="98"/>
      <c r="V19" s="35"/>
      <c r="W19" s="46"/>
    </row>
    <row r="20" spans="4:36" s="3" customFormat="1" x14ac:dyDescent="0.25">
      <c r="S20" s="99"/>
      <c r="T20" s="99"/>
      <c r="U20" s="99"/>
      <c r="V20" s="5"/>
      <c r="W20" s="48"/>
    </row>
  </sheetData>
  <hyperlinks>
    <hyperlink ref="B2" location="'Financial Supplement&gt;&gt;&gt;'!A1" display="INDEX" xr:uid="{982B5CDB-19CC-467A-9BD6-4797B86CCCD1}"/>
  </hyperlinks>
  <pageMargins left="0.7" right="0.7" top="0.75" bottom="0.75" header="0.3" footer="0.3"/>
  <pageSetup paperSize="9" scale="71" orientation="landscape" r:id="rId1"/>
  <ignoredErrors>
    <ignoredError sqref="R10:S10 E10:Q10 U10" formulaRange="1"/>
    <ignoredError sqref="Z5:Z10 AD5:AD9 AH5:AH9" formula="1"/>
    <ignoredError sqref="Q17:Q18 AF16:AF18 Q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sheetPr>
    <tabColor theme="2" tint="-9.9978637043366805E-2"/>
  </sheetPr>
  <dimension ref="B1:AJ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6" width="11" style="4" hidden="1" customWidth="1" outlineLevel="1"/>
    <col min="17" max="17" width="11" style="4" customWidth="1" collapsed="1"/>
    <col min="18" max="18" width="11" style="4" customWidth="1"/>
    <col min="19" max="20" width="11" style="4" hidden="1" customWidth="1" outlineLevel="1"/>
    <col min="21" max="21" width="11" style="4" customWidth="1" collapsed="1"/>
    <col min="22" max="22" width="11" style="4" customWidth="1"/>
    <col min="23" max="23" width="3" style="1" customWidth="1"/>
    <col min="24" max="16384" width="10.85546875" style="4"/>
  </cols>
  <sheetData>
    <row r="1" spans="2:36" ht="16.5" customHeight="1" x14ac:dyDescent="0.2"/>
    <row r="2" spans="2:36" ht="18.75" customHeight="1" thickBot="1" x14ac:dyDescent="0.25">
      <c r="B2" s="143" t="s">
        <v>28</v>
      </c>
      <c r="D2" s="19" t="s">
        <v>104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X2" s="19" t="s">
        <v>86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4" spans="2:36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45" t="s">
        <v>27</v>
      </c>
      <c r="U4" s="100" t="s">
        <v>165</v>
      </c>
      <c r="V4" s="113" t="s">
        <v>0</v>
      </c>
      <c r="W4" s="1"/>
      <c r="X4" s="45" t="s">
        <v>87</v>
      </c>
      <c r="Y4" s="45" t="s">
        <v>88</v>
      </c>
      <c r="Z4" s="45" t="s">
        <v>89</v>
      </c>
      <c r="AA4" s="45" t="s">
        <v>90</v>
      </c>
      <c r="AB4" s="45" t="s">
        <v>91</v>
      </c>
      <c r="AC4" s="45" t="s">
        <v>92</v>
      </c>
      <c r="AD4" s="45" t="s">
        <v>93</v>
      </c>
      <c r="AE4" s="45" t="s">
        <v>94</v>
      </c>
      <c r="AF4" s="45" t="s">
        <v>95</v>
      </c>
      <c r="AG4" s="45" t="s">
        <v>96</v>
      </c>
      <c r="AH4" s="45" t="s">
        <v>97</v>
      </c>
      <c r="AI4" s="45" t="s">
        <v>98</v>
      </c>
      <c r="AJ4" s="100" t="s">
        <v>166</v>
      </c>
    </row>
    <row r="5" spans="2:36" s="3" customFormat="1" x14ac:dyDescent="0.25">
      <c r="D5" s="26" t="s">
        <v>69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110">
        <v>24336</v>
      </c>
      <c r="V5" s="37">
        <f>+U5/Q5-1</f>
        <v>4.4284243048403615E-2</v>
      </c>
      <c r="W5" s="1"/>
      <c r="X5" s="76">
        <f>I5-H5</f>
        <v>3618.9996899999969</v>
      </c>
      <c r="Y5" s="76">
        <f>J5-I5</f>
        <v>4949.3531000000039</v>
      </c>
      <c r="Z5" s="76">
        <f>K5</f>
        <v>12002</v>
      </c>
      <c r="AA5" s="76">
        <f t="shared" ref="AA5:AB9" si="0">L5-K5</f>
        <v>4620</v>
      </c>
      <c r="AB5" s="76">
        <f t="shared" si="0"/>
        <v>4290.6946499999976</v>
      </c>
      <c r="AC5" s="76">
        <f t="shared" ref="AC5:AC9" si="1">N5-M5</f>
        <v>5536.3053500000024</v>
      </c>
      <c r="AD5" s="76">
        <f t="shared" ref="AD5:AD8" si="2">O5</f>
        <v>13760</v>
      </c>
      <c r="AE5" s="76">
        <f>P5-O5</f>
        <v>5088</v>
      </c>
      <c r="AF5" s="76">
        <f>Q5-P5</f>
        <v>4456</v>
      </c>
      <c r="AG5" s="76">
        <f>R5-Q5</f>
        <v>5778</v>
      </c>
      <c r="AH5" s="76">
        <f>S5</f>
        <v>14335</v>
      </c>
      <c r="AI5" s="76">
        <f>T5-S5</f>
        <v>5468</v>
      </c>
      <c r="AJ5" s="110">
        <f>U5-T5</f>
        <v>4533</v>
      </c>
    </row>
    <row r="6" spans="2:36" s="3" customFormat="1" x14ac:dyDescent="0.25">
      <c r="D6" s="26" t="s">
        <v>70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110">
        <v>12204</v>
      </c>
      <c r="V6" s="37">
        <f t="shared" ref="V6:V10" si="3">+U6/Q6-1</f>
        <v>5.4250172771250771E-2</v>
      </c>
      <c r="W6" s="1"/>
      <c r="X6" s="76">
        <f>I6-H6</f>
        <v>2692.615569999989</v>
      </c>
      <c r="Y6" s="76">
        <f t="shared" ref="Y6:Y9" si="4">J6-I6</f>
        <v>4442.384430000011</v>
      </c>
      <c r="Z6" s="76">
        <f t="shared" ref="Z6:Z9" si="5">K6</f>
        <v>3056</v>
      </c>
      <c r="AA6" s="76">
        <f t="shared" si="0"/>
        <v>3286</v>
      </c>
      <c r="AB6" s="76">
        <f t="shared" si="0"/>
        <v>3518.6312800000014</v>
      </c>
      <c r="AC6" s="76">
        <f t="shared" si="1"/>
        <v>5120.3687199999986</v>
      </c>
      <c r="AD6" s="76">
        <f t="shared" si="2"/>
        <v>3754</v>
      </c>
      <c r="AE6" s="76">
        <f t="shared" ref="AE6:AE9" si="6">P6-O6</f>
        <v>3856</v>
      </c>
      <c r="AF6" s="76">
        <f t="shared" ref="AF6:AF9" si="7">Q6-P6</f>
        <v>3966</v>
      </c>
      <c r="AG6" s="76">
        <f t="shared" ref="AG6:AG9" si="8">R6-Q6</f>
        <v>4929</v>
      </c>
      <c r="AH6" s="76">
        <f t="shared" ref="AH6:AH9" si="9">S6</f>
        <v>4002</v>
      </c>
      <c r="AI6" s="76">
        <f t="shared" ref="AI6:AJ9" si="10">T6-S6</f>
        <v>4060</v>
      </c>
      <c r="AJ6" s="110">
        <f t="shared" si="10"/>
        <v>4142</v>
      </c>
    </row>
    <row r="7" spans="2:36" s="3" customFormat="1" x14ac:dyDescent="0.25">
      <c r="D7" s="85" t="s">
        <v>71</v>
      </c>
      <c r="E7" s="46">
        <v>-2866</v>
      </c>
      <c r="F7" s="46">
        <v>-5492.4931738313571</v>
      </c>
      <c r="G7" s="46">
        <v>-7856</v>
      </c>
      <c r="H7" s="46">
        <v>-5258</v>
      </c>
      <c r="I7" s="46">
        <v>-7858.8337416389977</v>
      </c>
      <c r="J7" s="46">
        <v>-10712</v>
      </c>
      <c r="K7" s="46">
        <v>-3153</v>
      </c>
      <c r="L7" s="46">
        <v>-6678</v>
      </c>
      <c r="M7" s="46">
        <v>-9731.433319279995</v>
      </c>
      <c r="N7" s="46">
        <v>-12951</v>
      </c>
      <c r="O7" s="46">
        <v>-3799</v>
      </c>
      <c r="P7" s="46">
        <v>-7530</v>
      </c>
      <c r="Q7" s="46">
        <v>-10535</v>
      </c>
      <c r="R7" s="46">
        <v>-14321</v>
      </c>
      <c r="S7" s="46">
        <v>-3806</v>
      </c>
      <c r="T7" s="46">
        <v>-7551</v>
      </c>
      <c r="U7" s="154">
        <v>-10775</v>
      </c>
      <c r="V7" s="155">
        <f t="shared" si="3"/>
        <v>2.2781205505457924E-2</v>
      </c>
      <c r="W7" s="1"/>
      <c r="X7" s="46">
        <f>I7-H7</f>
        <v>-2600.8337416389977</v>
      </c>
      <c r="Y7" s="46">
        <f t="shared" si="4"/>
        <v>-2853.1662583610023</v>
      </c>
      <c r="Z7" s="46">
        <f t="shared" si="5"/>
        <v>-3153</v>
      </c>
      <c r="AA7" s="46">
        <f t="shared" si="0"/>
        <v>-3525</v>
      </c>
      <c r="AB7" s="46">
        <f t="shared" si="0"/>
        <v>-3053.433319279995</v>
      </c>
      <c r="AC7" s="46">
        <f t="shared" si="1"/>
        <v>-3219.566680720005</v>
      </c>
      <c r="AD7" s="46">
        <f t="shared" si="2"/>
        <v>-3799</v>
      </c>
      <c r="AE7" s="46">
        <f>P7-O7</f>
        <v>-3731</v>
      </c>
      <c r="AF7" s="46">
        <f t="shared" si="7"/>
        <v>-3005</v>
      </c>
      <c r="AG7" s="46">
        <f t="shared" si="8"/>
        <v>-3786</v>
      </c>
      <c r="AH7" s="46">
        <f t="shared" si="9"/>
        <v>-3806</v>
      </c>
      <c r="AI7" s="46">
        <f t="shared" si="10"/>
        <v>-3745</v>
      </c>
      <c r="AJ7" s="154">
        <f t="shared" si="10"/>
        <v>-3224</v>
      </c>
    </row>
    <row r="8" spans="2:36" s="3" customFormat="1" x14ac:dyDescent="0.25">
      <c r="D8" s="85" t="s">
        <v>72</v>
      </c>
      <c r="E8" s="46">
        <v>-6083</v>
      </c>
      <c r="F8" s="46">
        <v>-5317.2468838576415</v>
      </c>
      <c r="G8" s="46">
        <v>-9085</v>
      </c>
      <c r="H8" s="46">
        <v>-2166</v>
      </c>
      <c r="I8" s="46">
        <v>-4556.8115809177998</v>
      </c>
      <c r="J8" s="46">
        <v>-8920</v>
      </c>
      <c r="K8" s="46">
        <v>-4</v>
      </c>
      <c r="L8" s="46">
        <v>-2567</v>
      </c>
      <c r="M8" s="46">
        <v>-5210.2223628648017</v>
      </c>
      <c r="N8" s="46">
        <v>-9147</v>
      </c>
      <c r="O8" s="46">
        <v>181</v>
      </c>
      <c r="P8" s="46">
        <v>-2330</v>
      </c>
      <c r="Q8" s="46">
        <v>-5563</v>
      </c>
      <c r="R8" s="46">
        <v>-9327</v>
      </c>
      <c r="S8" s="46">
        <v>-2581</v>
      </c>
      <c r="T8" s="46">
        <v>-5169</v>
      </c>
      <c r="U8" s="154">
        <v>-8540</v>
      </c>
      <c r="V8" s="155">
        <f t="shared" si="3"/>
        <v>0.53514290850260648</v>
      </c>
      <c r="W8" s="1"/>
      <c r="X8" s="46">
        <f>I8-H8</f>
        <v>-2390.8115809177998</v>
      </c>
      <c r="Y8" s="46">
        <f t="shared" si="4"/>
        <v>-4363.1884190822002</v>
      </c>
      <c r="Z8" s="46">
        <f t="shared" si="5"/>
        <v>-4</v>
      </c>
      <c r="AA8" s="46">
        <f t="shared" si="0"/>
        <v>-2563</v>
      </c>
      <c r="AB8" s="46">
        <f t="shared" si="0"/>
        <v>-2643.2223628648017</v>
      </c>
      <c r="AC8" s="46">
        <f t="shared" si="1"/>
        <v>-3936.7776371351983</v>
      </c>
      <c r="AD8" s="46">
        <f t="shared" si="2"/>
        <v>181</v>
      </c>
      <c r="AE8" s="46">
        <f t="shared" si="6"/>
        <v>-2511</v>
      </c>
      <c r="AF8" s="46">
        <f t="shared" si="7"/>
        <v>-3233</v>
      </c>
      <c r="AG8" s="46">
        <f t="shared" si="8"/>
        <v>-3764</v>
      </c>
      <c r="AH8" s="46">
        <f t="shared" si="9"/>
        <v>-2581</v>
      </c>
      <c r="AI8" s="46">
        <f t="shared" si="10"/>
        <v>-2588</v>
      </c>
      <c r="AJ8" s="154">
        <f t="shared" si="10"/>
        <v>-3371</v>
      </c>
    </row>
    <row r="9" spans="2:36" s="3" customFormat="1" ht="15.75" thickBot="1" x14ac:dyDescent="0.3">
      <c r="D9" s="85" t="s">
        <v>73</v>
      </c>
      <c r="E9" s="46">
        <v>-240</v>
      </c>
      <c r="F9" s="46">
        <v>-180</v>
      </c>
      <c r="G9" s="46">
        <v>-153</v>
      </c>
      <c r="H9" s="46">
        <v>-121</v>
      </c>
      <c r="I9" s="46">
        <v>-199.06700000000001</v>
      </c>
      <c r="J9" s="46">
        <v>-278</v>
      </c>
      <c r="K9" s="46">
        <v>-60</v>
      </c>
      <c r="L9" s="46">
        <v>-103</v>
      </c>
      <c r="M9" s="46">
        <v>-128.2534</v>
      </c>
      <c r="N9" s="46">
        <v>-93</v>
      </c>
      <c r="O9" s="46">
        <v>-61</v>
      </c>
      <c r="P9" s="46">
        <v>-121</v>
      </c>
      <c r="Q9" s="46">
        <v>-182</v>
      </c>
      <c r="R9" s="46">
        <v>-243</v>
      </c>
      <c r="S9" s="46">
        <v>-1</v>
      </c>
      <c r="T9" s="46">
        <v>-1</v>
      </c>
      <c r="U9" s="154">
        <v>-2</v>
      </c>
      <c r="V9" s="155">
        <f t="shared" si="3"/>
        <v>-0.98901098901098905</v>
      </c>
      <c r="W9" s="1"/>
      <c r="X9" s="46">
        <f>I9-H9</f>
        <v>-78.067000000000007</v>
      </c>
      <c r="Y9" s="46">
        <f t="shared" si="4"/>
        <v>-78.932999999999993</v>
      </c>
      <c r="Z9" s="46">
        <f t="shared" si="5"/>
        <v>-60</v>
      </c>
      <c r="AA9" s="46">
        <f t="shared" si="0"/>
        <v>-43</v>
      </c>
      <c r="AB9" s="46">
        <f t="shared" si="0"/>
        <v>-25.253399999999999</v>
      </c>
      <c r="AC9" s="46">
        <f t="shared" si="1"/>
        <v>35.253399999999999</v>
      </c>
      <c r="AD9" s="46">
        <f>O9</f>
        <v>-61</v>
      </c>
      <c r="AE9" s="46">
        <f t="shared" si="6"/>
        <v>-60</v>
      </c>
      <c r="AF9" s="46">
        <f t="shared" si="7"/>
        <v>-61</v>
      </c>
      <c r="AG9" s="46">
        <f t="shared" si="8"/>
        <v>-61</v>
      </c>
      <c r="AH9" s="46">
        <f t="shared" si="9"/>
        <v>-1</v>
      </c>
      <c r="AI9" s="46">
        <f t="shared" si="10"/>
        <v>0</v>
      </c>
      <c r="AJ9" s="154">
        <f t="shared" si="10"/>
        <v>-1</v>
      </c>
    </row>
    <row r="10" spans="2:36" s="3" customFormat="1" ht="15.75" thickBot="1" x14ac:dyDescent="0.3">
      <c r="D10" s="88" t="s">
        <v>74</v>
      </c>
      <c r="E10" s="75">
        <f>SUM(E6:E9)</f>
        <v>-7042</v>
      </c>
      <c r="F10" s="75">
        <f>SUM(F6:F9)</f>
        <v>-6229.9020976889942</v>
      </c>
      <c r="G10" s="75">
        <f>SUM(G6:G9)</f>
        <v>-16346</v>
      </c>
      <c r="H10" s="75">
        <f t="shared" ref="H10:I10" si="11">SUM(H6:H9)</f>
        <v>-2660</v>
      </c>
      <c r="I10" s="75">
        <f t="shared" si="11"/>
        <v>-5037.0967525568085</v>
      </c>
      <c r="J10" s="75">
        <f t="shared" ref="J10:Q10" si="12">SUM(J6:J9)</f>
        <v>-7890</v>
      </c>
      <c r="K10" s="75">
        <f t="shared" si="12"/>
        <v>-161</v>
      </c>
      <c r="L10" s="75">
        <f t="shared" si="12"/>
        <v>-3006</v>
      </c>
      <c r="M10" s="75">
        <f t="shared" si="12"/>
        <v>-5209.2778021447948</v>
      </c>
      <c r="N10" s="75">
        <f t="shared" si="12"/>
        <v>-7210</v>
      </c>
      <c r="O10" s="75">
        <f t="shared" ref="O10:P10" si="13">SUM(O6:O9)</f>
        <v>75</v>
      </c>
      <c r="P10" s="75">
        <f t="shared" si="13"/>
        <v>-2371</v>
      </c>
      <c r="Q10" s="75">
        <f t="shared" si="12"/>
        <v>-4704</v>
      </c>
      <c r="R10" s="18">
        <f>SUM(R6:R9)</f>
        <v>-7386</v>
      </c>
      <c r="S10" s="18">
        <f>SUM(S6:S9)</f>
        <v>-2386</v>
      </c>
      <c r="T10" s="18">
        <f>SUM(T6:T9)</f>
        <v>-4659</v>
      </c>
      <c r="U10" s="150">
        <f>SUM(U6:U9)</f>
        <v>-7113</v>
      </c>
      <c r="V10" s="41">
        <f t="shared" si="3"/>
        <v>0.51211734693877542</v>
      </c>
      <c r="W10" s="1"/>
      <c r="X10" s="75">
        <f t="shared" ref="X10:AC10" si="14">SUM(X6:X9)</f>
        <v>-2377.0967525568085</v>
      </c>
      <c r="Y10" s="75">
        <f t="shared" si="14"/>
        <v>-2852.9032474431915</v>
      </c>
      <c r="Z10" s="75">
        <f t="shared" si="14"/>
        <v>-161</v>
      </c>
      <c r="AA10" s="75">
        <f t="shared" si="14"/>
        <v>-2845</v>
      </c>
      <c r="AB10" s="75">
        <f>SUM(AB6:AB9)</f>
        <v>-2203.2778021447953</v>
      </c>
      <c r="AC10" s="75">
        <f t="shared" si="14"/>
        <v>-2000.7221978552047</v>
      </c>
      <c r="AD10" s="75">
        <f t="shared" ref="AD10:AF10" si="15">SUM(AD6:AD9)</f>
        <v>75</v>
      </c>
      <c r="AE10" s="75">
        <f t="shared" si="15"/>
        <v>-2446</v>
      </c>
      <c r="AF10" s="75">
        <f t="shared" si="15"/>
        <v>-2333</v>
      </c>
      <c r="AG10" s="75">
        <f>SUM(AG6:AG9)</f>
        <v>-2682</v>
      </c>
      <c r="AH10" s="75">
        <f>SUM(AH6:AH9)</f>
        <v>-2386</v>
      </c>
      <c r="AI10" s="75">
        <f>SUM(AI6:AI9)</f>
        <v>-2273</v>
      </c>
      <c r="AJ10" s="111">
        <f>SUM(AJ6:AJ9)</f>
        <v>-2454</v>
      </c>
    </row>
    <row r="11" spans="2:36" s="3" customFormat="1" ht="9" customHeight="1" x14ac:dyDescent="0.25"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46"/>
      <c r="R11" s="46"/>
      <c r="S11" s="46"/>
      <c r="T11" s="46"/>
      <c r="U11" s="46"/>
      <c r="V11" s="35"/>
      <c r="W11" s="1"/>
      <c r="X11" s="34"/>
      <c r="Y11" s="34"/>
      <c r="Z11" s="34"/>
      <c r="AA11" s="34"/>
      <c r="AB11" s="34"/>
      <c r="AC11" s="34"/>
      <c r="AD11" s="34"/>
      <c r="AE11" s="34"/>
    </row>
    <row r="12" spans="2:36" s="3" customFormat="1" x14ac:dyDescent="0.25"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48"/>
      <c r="R12" s="48"/>
      <c r="S12" s="48"/>
      <c r="T12" s="48"/>
      <c r="U12" s="48"/>
      <c r="V12" s="86" t="s">
        <v>67</v>
      </c>
      <c r="W12" s="1"/>
      <c r="X12" s="28"/>
      <c r="Y12" s="28"/>
      <c r="Z12" s="28"/>
      <c r="AA12" s="28"/>
      <c r="AB12" s="28"/>
      <c r="AC12" s="28"/>
      <c r="AD12" s="28"/>
      <c r="AE12" s="28"/>
      <c r="AH12" s="86"/>
      <c r="AI12" s="86"/>
      <c r="AJ12" s="86" t="s">
        <v>67</v>
      </c>
    </row>
    <row r="13" spans="2:36" s="3" customFormat="1" x14ac:dyDescent="0.25"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48"/>
      <c r="R13" s="48"/>
      <c r="S13" s="48"/>
      <c r="T13" s="48"/>
      <c r="U13" s="48"/>
      <c r="V13" s="28"/>
      <c r="W13" s="1"/>
      <c r="X13" s="28"/>
      <c r="Y13" s="28"/>
      <c r="Z13" s="28"/>
      <c r="AA13" s="28"/>
      <c r="AB13" s="28"/>
      <c r="AC13" s="28"/>
      <c r="AD13" s="28"/>
      <c r="AE13" s="28"/>
    </row>
    <row r="14" spans="2:36" s="3" customFormat="1" x14ac:dyDescent="0.25">
      <c r="D14" s="26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6"/>
      <c r="R14" s="46"/>
      <c r="S14" s="46"/>
      <c r="T14" s="46"/>
      <c r="U14" s="46"/>
      <c r="V14" s="35"/>
      <c r="W14" s="1"/>
      <c r="X14" s="34"/>
      <c r="Y14" s="34"/>
      <c r="Z14" s="34"/>
      <c r="AA14" s="34"/>
      <c r="AB14" s="34"/>
      <c r="AC14" s="34"/>
      <c r="AD14" s="34"/>
      <c r="AE14" s="34"/>
    </row>
    <row r="15" spans="2:36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45" t="s">
        <v>27</v>
      </c>
      <c r="U15" s="100" t="s">
        <v>165</v>
      </c>
      <c r="V15" s="40" t="s">
        <v>2</v>
      </c>
      <c r="W15" s="1"/>
      <c r="X15" s="45" t="s">
        <v>87</v>
      </c>
      <c r="Y15" s="45" t="s">
        <v>88</v>
      </c>
      <c r="Z15" s="45" t="s">
        <v>89</v>
      </c>
      <c r="AA15" s="45" t="s">
        <v>90</v>
      </c>
      <c r="AB15" s="45" t="s">
        <v>91</v>
      </c>
      <c r="AC15" s="45" t="s">
        <v>92</v>
      </c>
      <c r="AD15" s="45" t="s">
        <v>93</v>
      </c>
      <c r="AE15" s="45" t="s">
        <v>94</v>
      </c>
      <c r="AF15" s="45" t="s">
        <v>95</v>
      </c>
      <c r="AG15" s="45" t="s">
        <v>96</v>
      </c>
      <c r="AH15" s="45" t="s">
        <v>97</v>
      </c>
      <c r="AI15" s="45" t="s">
        <v>98</v>
      </c>
      <c r="AJ15" s="100" t="s">
        <v>166</v>
      </c>
    </row>
    <row r="16" spans="2:36" s="3" customFormat="1" x14ac:dyDescent="0.25">
      <c r="D16" s="85" t="s">
        <v>83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" si="16">-H7/H6</f>
        <v>1.0763561924257932</v>
      </c>
      <c r="I16" s="47">
        <f t="shared" ref="I16" si="17">-I7/I6</f>
        <v>1.0371116968182392</v>
      </c>
      <c r="J16" s="47">
        <f t="shared" ref="J16:N16" si="18">-J7/J6</f>
        <v>0.89118136439267892</v>
      </c>
      <c r="K16" s="47">
        <f t="shared" si="18"/>
        <v>1.0317408376963351</v>
      </c>
      <c r="L16" s="47">
        <f t="shared" si="18"/>
        <v>1.0529801324503312</v>
      </c>
      <c r="M16" s="47">
        <f t="shared" si="18"/>
        <v>0.98689759742035432</v>
      </c>
      <c r="N16" s="47">
        <f t="shared" si="18"/>
        <v>0.86449502703424341</v>
      </c>
      <c r="O16" s="47">
        <f t="shared" ref="O16:P16" si="19">-O7/O6</f>
        <v>1.0119872136387853</v>
      </c>
      <c r="P16" s="47">
        <f t="shared" si="19"/>
        <v>0.98948751642575561</v>
      </c>
      <c r="Q16" s="47">
        <f>-Q7/Q6</f>
        <v>0.91007256392536284</v>
      </c>
      <c r="R16" s="47">
        <f>-R7/R6</f>
        <v>0.86767646167827928</v>
      </c>
      <c r="S16" s="47">
        <f>-S7/S6</f>
        <v>0.95102448775612192</v>
      </c>
      <c r="T16" s="47">
        <f>-T7/T6</f>
        <v>0.93661622426196978</v>
      </c>
      <c r="U16" s="101">
        <f>-U7/U6</f>
        <v>0.88290724352671257</v>
      </c>
      <c r="V16" s="106">
        <f>(U16-Q16)*100</f>
        <v>-2.7165320398650272</v>
      </c>
      <c r="W16" s="1"/>
      <c r="X16" s="47">
        <f t="shared" ref="X16" si="20">-X7/X6</f>
        <v>0.96591350455535263</v>
      </c>
      <c r="Y16" s="47">
        <f>-Y7/Y6</f>
        <v>0.64226009777388748</v>
      </c>
      <c r="Z16" s="47">
        <f t="shared" ref="Z16:AA16" si="21">-Z7/Z6</f>
        <v>1.0317408376963351</v>
      </c>
      <c r="AA16" s="47">
        <f t="shared" si="21"/>
        <v>1.0727328058429701</v>
      </c>
      <c r="AB16" s="47">
        <f t="shared" ref="AB16:AI16" si="22">-AB7/AB6</f>
        <v>0.86779007980625744</v>
      </c>
      <c r="AC16" s="47">
        <f t="shared" si="22"/>
        <v>0.62877633560733215</v>
      </c>
      <c r="AD16" s="47">
        <f t="shared" si="22"/>
        <v>1.0119872136387853</v>
      </c>
      <c r="AE16" s="47">
        <f t="shared" si="22"/>
        <v>0.96758298755186722</v>
      </c>
      <c r="AF16" s="47">
        <f t="shared" si="22"/>
        <v>0.75769036812909729</v>
      </c>
      <c r="AG16" s="47">
        <f t="shared" si="22"/>
        <v>0.76810712111990265</v>
      </c>
      <c r="AH16" s="47">
        <f t="shared" si="22"/>
        <v>0.95102448775612192</v>
      </c>
      <c r="AI16" s="47">
        <f t="shared" si="22"/>
        <v>0.92241379310344829</v>
      </c>
      <c r="AJ16" s="101">
        <f t="shared" ref="AJ16" si="23">-AJ7/AJ6</f>
        <v>0.7783679381941091</v>
      </c>
    </row>
    <row r="17" spans="4:36" s="3" customFormat="1" ht="15.75" thickBot="1" x14ac:dyDescent="0.3">
      <c r="D17" s="85" t="s">
        <v>84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" si="24">-(H8+H9)/H6</f>
        <v>0.46816786079836231</v>
      </c>
      <c r="I17" s="47">
        <f t="shared" ref="I17" si="25">-(I8+I9)/I6</f>
        <v>0.62762204508585362</v>
      </c>
      <c r="J17" s="47">
        <f t="shared" ref="J17:Q17" si="26">-(J8+J9)/J6</f>
        <v>0.7652246256239601</v>
      </c>
      <c r="K17" s="47">
        <f t="shared" si="26"/>
        <v>2.0942408376963352E-2</v>
      </c>
      <c r="L17" s="47">
        <f t="shared" si="26"/>
        <v>0.42100283822138129</v>
      </c>
      <c r="M17" s="47">
        <f t="shared" si="26"/>
        <v>0.54139289983316363</v>
      </c>
      <c r="N17" s="47">
        <f t="shared" si="26"/>
        <v>0.61678125625792668</v>
      </c>
      <c r="O17" s="47">
        <f t="shared" ref="O17:P17" si="27">-(O8+O9)/O6</f>
        <v>-3.1965903036760786E-2</v>
      </c>
      <c r="P17" s="47">
        <f t="shared" si="27"/>
        <v>0.32207621550591325</v>
      </c>
      <c r="Q17" s="47">
        <f t="shared" si="26"/>
        <v>0.49628541810642707</v>
      </c>
      <c r="R17" s="47">
        <f>-(R8+R9)/R6</f>
        <v>0.57982429566797944</v>
      </c>
      <c r="S17" s="47">
        <f>-(S8+S9)/S6</f>
        <v>0.6451774112943528</v>
      </c>
      <c r="T17" s="47">
        <f>-(T8+T9)/T6</f>
        <v>0.64128007938476805</v>
      </c>
      <c r="U17" s="101">
        <f>-(U8+U9)/U6</f>
        <v>0.69993444772205837</v>
      </c>
      <c r="V17" s="106">
        <f t="shared" ref="V17:V18" si="28">(U17-Q17)*100</f>
        <v>20.364902961563132</v>
      </c>
      <c r="W17" s="1"/>
      <c r="X17" s="47">
        <f t="shared" ref="X17" si="29">-(X8+X9)/X6</f>
        <v>0.91690719181194136</v>
      </c>
      <c r="Y17" s="47">
        <f>-(Y8+Y9)/Y6</f>
        <v>0.99994079510182987</v>
      </c>
      <c r="Z17" s="47">
        <f t="shared" ref="Z17:AA17" si="30">-(Z8+Z9)/Z6</f>
        <v>2.0942408376963352E-2</v>
      </c>
      <c r="AA17" s="47">
        <f t="shared" si="30"/>
        <v>0.79306147291539864</v>
      </c>
      <c r="AB17" s="47">
        <f t="shared" ref="AB17:AI17" si="31">-(AB8+AB9)/AB6</f>
        <v>0.75838459631519006</v>
      </c>
      <c r="AC17" s="47">
        <f t="shared" si="31"/>
        <v>0.76196157942610032</v>
      </c>
      <c r="AD17" s="47">
        <f t="shared" si="31"/>
        <v>-3.1965903036760786E-2</v>
      </c>
      <c r="AE17" s="47">
        <f t="shared" si="31"/>
        <v>0.66675311203319498</v>
      </c>
      <c r="AF17" s="47">
        <f t="shared" si="31"/>
        <v>0.83055975794251136</v>
      </c>
      <c r="AG17" s="47">
        <f t="shared" si="31"/>
        <v>0.77601947656725501</v>
      </c>
      <c r="AH17" s="47">
        <f t="shared" si="31"/>
        <v>0.6451774112943528</v>
      </c>
      <c r="AI17" s="47">
        <f t="shared" si="31"/>
        <v>0.63743842364532022</v>
      </c>
      <c r="AJ17" s="101">
        <f t="shared" ref="AJ17" si="32">-(AJ8+AJ9)/AJ6</f>
        <v>0.81409946885562534</v>
      </c>
    </row>
    <row r="18" spans="4:36" s="3" customFormat="1" ht="15.75" thickBot="1" x14ac:dyDescent="0.3">
      <c r="D18" s="88" t="s">
        <v>85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" si="33">-(H7+H8+H9)/H6</f>
        <v>1.5445240532241555</v>
      </c>
      <c r="I18" s="49">
        <f t="shared" ref="I18" si="34">-(I7+I8+I9)/I6</f>
        <v>1.6647337419040926</v>
      </c>
      <c r="J18" s="49">
        <f t="shared" ref="J18:Q18" si="35">-(J7+J8+J9)/J6</f>
        <v>1.656405990016639</v>
      </c>
      <c r="K18" s="49">
        <f t="shared" si="35"/>
        <v>1.0526832460732984</v>
      </c>
      <c r="L18" s="49">
        <f t="shared" si="35"/>
        <v>1.4739829706717125</v>
      </c>
      <c r="M18" s="49">
        <f t="shared" si="35"/>
        <v>1.5282904972535178</v>
      </c>
      <c r="N18" s="49">
        <f t="shared" si="35"/>
        <v>1.48127628329217</v>
      </c>
      <c r="O18" s="49">
        <f t="shared" ref="O18:P18" si="36">-(O7+O8+O9)/O6</f>
        <v>0.98002131060202446</v>
      </c>
      <c r="P18" s="49">
        <f t="shared" si="36"/>
        <v>1.3115637319316689</v>
      </c>
      <c r="Q18" s="49">
        <f t="shared" si="35"/>
        <v>1.40635798203179</v>
      </c>
      <c r="R18" s="49">
        <f>-(R7+R8+R9)/R6</f>
        <v>1.4475007573462586</v>
      </c>
      <c r="S18" s="49">
        <f>-(S7+S8+S9)/S6</f>
        <v>1.5962018990504747</v>
      </c>
      <c r="T18" s="49">
        <f>-(T7+T8+T9)/T6</f>
        <v>1.5778963036467377</v>
      </c>
      <c r="U18" s="102">
        <f>-(U7+U8+U9)/U6</f>
        <v>1.5828416912487708</v>
      </c>
      <c r="V18" s="109">
        <f t="shared" si="28"/>
        <v>17.648370921698088</v>
      </c>
      <c r="W18" s="1"/>
      <c r="X18" s="49">
        <f t="shared" ref="X18" si="37">-(X7+X8+X9)/X6</f>
        <v>1.882820696367294</v>
      </c>
      <c r="Y18" s="49">
        <f>-(Y7+Y8+Y9)/Y6</f>
        <v>1.6422008928757172</v>
      </c>
      <c r="Z18" s="49">
        <f t="shared" ref="Z18:AA18" si="38">-(Z7+Z8+Z9)/Z6</f>
        <v>1.0526832460732984</v>
      </c>
      <c r="AA18" s="49">
        <f t="shared" si="38"/>
        <v>1.8657942787583688</v>
      </c>
      <c r="AB18" s="49">
        <f t="shared" ref="AB18:AI18" si="39">-(AB7+AB8+AB9)/AB6</f>
        <v>1.6261746761214475</v>
      </c>
      <c r="AC18" s="49">
        <f t="shared" si="39"/>
        <v>1.3907379150334325</v>
      </c>
      <c r="AD18" s="49">
        <f t="shared" si="39"/>
        <v>0.98002131060202446</v>
      </c>
      <c r="AE18" s="49">
        <f t="shared" si="39"/>
        <v>1.6343360995850622</v>
      </c>
      <c r="AF18" s="49">
        <f t="shared" si="39"/>
        <v>1.5882501260716086</v>
      </c>
      <c r="AG18" s="49">
        <f t="shared" si="39"/>
        <v>1.5441265976871577</v>
      </c>
      <c r="AH18" s="49">
        <f t="shared" si="39"/>
        <v>1.5962018990504747</v>
      </c>
      <c r="AI18" s="49">
        <f t="shared" si="39"/>
        <v>1.5598522167487685</v>
      </c>
      <c r="AJ18" s="102">
        <f t="shared" ref="AJ18" si="40">-(AJ7+AJ8+AJ9)/AJ6</f>
        <v>1.5924674070497344</v>
      </c>
    </row>
    <row r="19" spans="4:36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35"/>
      <c r="W19" s="46"/>
    </row>
    <row r="20" spans="4:36" s="3" customFormat="1" x14ac:dyDescent="0.25">
      <c r="U20" s="5"/>
      <c r="V20" s="5"/>
      <c r="W20" s="48"/>
    </row>
  </sheetData>
  <hyperlinks>
    <hyperlink ref="B2" location="'Financial Supplement&gt;&gt;&gt;'!A1" display="INDEX" xr:uid="{C791FAFD-5DF5-4C13-9EAE-E8C56B1355A5}"/>
  </hyperlinks>
  <pageMargins left="0.7" right="0.7" top="0.75" bottom="0.75" header="0.3" footer="0.3"/>
  <pageSetup paperSize="9" scale="71" orientation="landscape" r:id="rId1"/>
  <ignoredErrors>
    <ignoredError sqref="E10:N10 R10:U10 P10:Q10" formulaRange="1"/>
    <ignoredError sqref="O9 W11:AD14 W10:AD10 O5 W5:AD5 O6 W6:AD6 O7 W7:AD7 O8 W8:AD8 W9:AD9 W16:AD18 W15 AH5:AH9" formula="1"/>
    <ignoredError sqref="O10:O18 T11 Q11:Q14 T13:T14" formula="1" formulaRange="1"/>
    <ignoredError sqref="Q17:Q18" evalError="1" formula="1" formulaRange="1"/>
    <ignoredError sqref="AF16:AF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sheetPr>
    <tabColor theme="2" tint="-9.9978637043366805E-2"/>
  </sheetPr>
  <dimension ref="B1:AJ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6" width="11" style="4" hidden="1" customWidth="1" outlineLevel="1"/>
    <col min="17" max="17" width="11" style="4" customWidth="1" collapsed="1"/>
    <col min="18" max="18" width="11" style="4" customWidth="1"/>
    <col min="19" max="20" width="11" style="4" hidden="1" customWidth="1" outlineLevel="1"/>
    <col min="21" max="21" width="11" style="4" customWidth="1" collapsed="1"/>
    <col min="22" max="22" width="11" style="4" customWidth="1"/>
    <col min="23" max="23" width="3" style="1" customWidth="1"/>
    <col min="24" max="16384" width="10.85546875" style="4"/>
  </cols>
  <sheetData>
    <row r="1" spans="2:36" ht="16.5" customHeight="1" x14ac:dyDescent="0.2"/>
    <row r="2" spans="2:36" ht="18.75" customHeight="1" thickBot="1" x14ac:dyDescent="0.25">
      <c r="B2" s="143" t="s">
        <v>28</v>
      </c>
      <c r="D2" s="19" t="s">
        <v>105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X2" s="19" t="s">
        <v>86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4" spans="2:36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45" t="s">
        <v>27</v>
      </c>
      <c r="U4" s="100" t="s">
        <v>165</v>
      </c>
      <c r="V4" s="39" t="s">
        <v>0</v>
      </c>
      <c r="W4" s="1"/>
      <c r="X4" s="45" t="s">
        <v>87</v>
      </c>
      <c r="Y4" s="45" t="s">
        <v>88</v>
      </c>
      <c r="Z4" s="45" t="s">
        <v>89</v>
      </c>
      <c r="AA4" s="45" t="s">
        <v>90</v>
      </c>
      <c r="AB4" s="45" t="s">
        <v>91</v>
      </c>
      <c r="AC4" s="45" t="s">
        <v>92</v>
      </c>
      <c r="AD4" s="45" t="s">
        <v>93</v>
      </c>
      <c r="AE4" s="45" t="s">
        <v>94</v>
      </c>
      <c r="AF4" s="45" t="s">
        <v>95</v>
      </c>
      <c r="AG4" s="45" t="s">
        <v>96</v>
      </c>
      <c r="AH4" s="45" t="s">
        <v>97</v>
      </c>
      <c r="AI4" s="45" t="s">
        <v>98</v>
      </c>
      <c r="AJ4" s="100" t="s">
        <v>166</v>
      </c>
    </row>
    <row r="5" spans="2:36" s="3" customFormat="1" x14ac:dyDescent="0.25">
      <c r="D5" s="26" t="s">
        <v>69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110">
        <v>767</v>
      </c>
      <c r="V5" s="37">
        <f>+U5/Q5-1</f>
        <v>-0.29112754158964882</v>
      </c>
      <c r="W5" s="1"/>
      <c r="X5" s="76">
        <f>I5-H5</f>
        <v>2.5858000000000629</v>
      </c>
      <c r="Y5" s="76">
        <f>J5-I5</f>
        <v>19.42870999999991</v>
      </c>
      <c r="Z5" s="12">
        <f t="shared" ref="Z5:Z9" si="0">K5</f>
        <v>1349</v>
      </c>
      <c r="AA5" s="76">
        <f t="shared" ref="AA5:AB10" si="1">L5-K5</f>
        <v>14</v>
      </c>
      <c r="AB5" s="76">
        <f t="shared" si="1"/>
        <v>16.129040000000032</v>
      </c>
      <c r="AC5" s="76">
        <f t="shared" ref="AC5:AC10" si="2">N5-M5</f>
        <v>17.870959999999968</v>
      </c>
      <c r="AD5" s="76">
        <f t="shared" ref="AD5:AD9" si="3">O5</f>
        <v>1061</v>
      </c>
      <c r="AE5" s="76">
        <f>P5-O5</f>
        <v>7</v>
      </c>
      <c r="AF5" s="76">
        <f>Q5-P5</f>
        <v>14</v>
      </c>
      <c r="AG5" s="76">
        <f>R5-Q5</f>
        <v>15</v>
      </c>
      <c r="AH5" s="76">
        <f t="shared" ref="AH5:AH10" si="4">S5</f>
        <v>741</v>
      </c>
      <c r="AI5" s="76">
        <f>T5-S5</f>
        <v>13</v>
      </c>
      <c r="AJ5" s="110">
        <f>U5-T5</f>
        <v>13</v>
      </c>
    </row>
    <row r="6" spans="2:36" s="3" customFormat="1" x14ac:dyDescent="0.25">
      <c r="D6" s="26" t="s">
        <v>70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110">
        <v>592</v>
      </c>
      <c r="V6" s="37">
        <f t="shared" ref="V6:V9" si="5">+U6/Q6-1</f>
        <v>-0.34295227524972249</v>
      </c>
      <c r="W6" s="1"/>
      <c r="X6" s="76">
        <f>I6-H6</f>
        <v>418.30776000000151</v>
      </c>
      <c r="Y6" s="76">
        <f t="shared" ref="Y6:Y10" si="6">J6-I6</f>
        <v>511.49907999999891</v>
      </c>
      <c r="Z6" s="12">
        <f t="shared" si="0"/>
        <v>324</v>
      </c>
      <c r="AA6" s="76">
        <f t="shared" si="1"/>
        <v>355</v>
      </c>
      <c r="AB6" s="76">
        <f t="shared" si="1"/>
        <v>353.80626999999913</v>
      </c>
      <c r="AC6" s="76">
        <f t="shared" si="2"/>
        <v>355.19373000000087</v>
      </c>
      <c r="AD6" s="76">
        <f t="shared" si="3"/>
        <v>481</v>
      </c>
      <c r="AE6" s="76">
        <f t="shared" ref="AE6:AE10" si="7">P6-O6</f>
        <v>256</v>
      </c>
      <c r="AF6" s="76">
        <f t="shared" ref="AF6:AF10" si="8">Q6-P6</f>
        <v>164</v>
      </c>
      <c r="AG6" s="76">
        <f t="shared" ref="AG6:AG10" si="9">R6-Q6</f>
        <v>164</v>
      </c>
      <c r="AH6" s="76">
        <f t="shared" si="4"/>
        <v>234</v>
      </c>
      <c r="AI6" s="76">
        <f t="shared" ref="AI6:AJ10" si="10">T6-S6</f>
        <v>178</v>
      </c>
      <c r="AJ6" s="110">
        <f t="shared" si="10"/>
        <v>180</v>
      </c>
    </row>
    <row r="7" spans="2:36" s="3" customFormat="1" x14ac:dyDescent="0.25">
      <c r="D7" s="85" t="s">
        <v>71</v>
      </c>
      <c r="E7" s="46">
        <v>-223</v>
      </c>
      <c r="F7" s="46">
        <v>-236.41472000000036</v>
      </c>
      <c r="G7" s="46">
        <v>-328</v>
      </c>
      <c r="H7" s="46">
        <v>-326.50592000000017</v>
      </c>
      <c r="I7" s="46">
        <v>-416.03276999999957</v>
      </c>
      <c r="J7" s="46">
        <v>-292</v>
      </c>
      <c r="K7" s="46">
        <v>-38</v>
      </c>
      <c r="L7" s="46">
        <v>-32</v>
      </c>
      <c r="M7" s="46">
        <v>-37.001470000000211</v>
      </c>
      <c r="N7" s="13">
        <v>0</v>
      </c>
      <c r="O7" s="46">
        <v>-49</v>
      </c>
      <c r="P7" s="46">
        <v>-21</v>
      </c>
      <c r="Q7" s="46">
        <v>-36</v>
      </c>
      <c r="R7" s="13">
        <v>-10</v>
      </c>
      <c r="S7" s="13">
        <v>-19</v>
      </c>
      <c r="T7" s="13">
        <v>-43</v>
      </c>
      <c r="U7" s="154">
        <v>-77</v>
      </c>
      <c r="V7" s="155">
        <f t="shared" si="5"/>
        <v>1.1388888888888888</v>
      </c>
      <c r="W7" s="1"/>
      <c r="X7" s="46">
        <f>I7-H7</f>
        <v>-89.526849999999399</v>
      </c>
      <c r="Y7" s="46">
        <f t="shared" si="6"/>
        <v>124.03276999999957</v>
      </c>
      <c r="Z7" s="13">
        <f t="shared" si="0"/>
        <v>-38</v>
      </c>
      <c r="AA7" s="46">
        <f t="shared" si="1"/>
        <v>6</v>
      </c>
      <c r="AB7" s="46">
        <f t="shared" si="1"/>
        <v>-5.0014700000002108</v>
      </c>
      <c r="AC7" s="46">
        <f t="shared" si="2"/>
        <v>37.001470000000211</v>
      </c>
      <c r="AD7" s="46">
        <f t="shared" si="3"/>
        <v>-49</v>
      </c>
      <c r="AE7" s="46">
        <f t="shared" si="7"/>
        <v>28</v>
      </c>
      <c r="AF7" s="46">
        <f t="shared" si="8"/>
        <v>-15</v>
      </c>
      <c r="AG7" s="46">
        <f t="shared" si="9"/>
        <v>26</v>
      </c>
      <c r="AH7" s="46">
        <f t="shared" si="4"/>
        <v>-19</v>
      </c>
      <c r="AI7" s="46">
        <f t="shared" si="10"/>
        <v>-24</v>
      </c>
      <c r="AJ7" s="154">
        <f t="shared" si="10"/>
        <v>-34</v>
      </c>
    </row>
    <row r="8" spans="2:36" s="3" customFormat="1" x14ac:dyDescent="0.25">
      <c r="D8" s="85" t="s">
        <v>106</v>
      </c>
      <c r="E8" s="46">
        <v>-751</v>
      </c>
      <c r="F8" s="46">
        <v>-536.81047999999998</v>
      </c>
      <c r="G8" s="46">
        <v>-724</v>
      </c>
      <c r="H8" s="46">
        <v>-416.92200000000003</v>
      </c>
      <c r="I8" s="46">
        <v>-499.85578000000004</v>
      </c>
      <c r="J8" s="46">
        <v>-708</v>
      </c>
      <c r="K8" s="46">
        <v>-184</v>
      </c>
      <c r="L8" s="46">
        <v>-172</v>
      </c>
      <c r="M8" s="46">
        <v>-386.88099</v>
      </c>
      <c r="N8" s="46">
        <v>-594</v>
      </c>
      <c r="O8" s="46">
        <v>-118</v>
      </c>
      <c r="P8" s="46">
        <v>-235</v>
      </c>
      <c r="Q8" s="46">
        <v>-353</v>
      </c>
      <c r="R8" s="46">
        <v>-637</v>
      </c>
      <c r="S8" s="46">
        <v>-76</v>
      </c>
      <c r="T8" s="46">
        <v>-151</v>
      </c>
      <c r="U8" s="154">
        <v>-227</v>
      </c>
      <c r="V8" s="155">
        <f t="shared" si="5"/>
        <v>-0.35694050991501414</v>
      </c>
      <c r="W8" s="1"/>
      <c r="X8" s="46">
        <f>I8-H8</f>
        <v>-82.933780000000013</v>
      </c>
      <c r="Y8" s="46">
        <f t="shared" si="6"/>
        <v>-208.14421999999996</v>
      </c>
      <c r="Z8" s="13">
        <f t="shared" si="0"/>
        <v>-184</v>
      </c>
      <c r="AA8" s="46">
        <f t="shared" si="1"/>
        <v>12</v>
      </c>
      <c r="AB8" s="46">
        <f t="shared" si="1"/>
        <v>-214.88099</v>
      </c>
      <c r="AC8" s="46">
        <f t="shared" si="2"/>
        <v>-207.11901</v>
      </c>
      <c r="AD8" s="46">
        <f t="shared" si="3"/>
        <v>-118</v>
      </c>
      <c r="AE8" s="46">
        <f t="shared" si="7"/>
        <v>-117</v>
      </c>
      <c r="AF8" s="46">
        <f t="shared" si="8"/>
        <v>-118</v>
      </c>
      <c r="AG8" s="46">
        <f t="shared" si="9"/>
        <v>-284</v>
      </c>
      <c r="AH8" s="46">
        <f t="shared" si="4"/>
        <v>-76</v>
      </c>
      <c r="AI8" s="46">
        <f t="shared" si="10"/>
        <v>-75</v>
      </c>
      <c r="AJ8" s="154">
        <f t="shared" si="10"/>
        <v>-76</v>
      </c>
    </row>
    <row r="9" spans="2:36" s="3" customFormat="1" x14ac:dyDescent="0.25">
      <c r="D9" s="85" t="s">
        <v>72</v>
      </c>
      <c r="E9" s="46">
        <v>-1055</v>
      </c>
      <c r="F9" s="46">
        <v>-546.89414447900003</v>
      </c>
      <c r="G9" s="46">
        <v>-877</v>
      </c>
      <c r="H9" s="46">
        <v>-84.976086649599992</v>
      </c>
      <c r="I9" s="46">
        <v>-199.36252122880001</v>
      </c>
      <c r="J9" s="46">
        <v>-342</v>
      </c>
      <c r="K9" s="46">
        <v>-8</v>
      </c>
      <c r="L9" s="46">
        <v>-10</v>
      </c>
      <c r="M9" s="46">
        <v>-12.3646754888</v>
      </c>
      <c r="N9" s="46">
        <v>-113</v>
      </c>
      <c r="O9" s="46">
        <v>-50</v>
      </c>
      <c r="P9" s="46">
        <v>-76</v>
      </c>
      <c r="Q9" s="46">
        <v>-64</v>
      </c>
      <c r="R9" s="46">
        <v>-66</v>
      </c>
      <c r="S9" s="46">
        <v>-36</v>
      </c>
      <c r="T9" s="46">
        <v>-43</v>
      </c>
      <c r="U9" s="154">
        <v>-57</v>
      </c>
      <c r="V9" s="155">
        <f t="shared" si="5"/>
        <v>-0.109375</v>
      </c>
      <c r="W9" s="1"/>
      <c r="X9" s="46">
        <f>I9-H9</f>
        <v>-114.38643457920001</v>
      </c>
      <c r="Y9" s="46">
        <f t="shared" si="6"/>
        <v>-142.63747877119999</v>
      </c>
      <c r="Z9" s="13">
        <f t="shared" si="0"/>
        <v>-8</v>
      </c>
      <c r="AA9" s="46">
        <f t="shared" si="1"/>
        <v>-2</v>
      </c>
      <c r="AB9" s="46">
        <f t="shared" si="1"/>
        <v>-2.3646754887999997</v>
      </c>
      <c r="AC9" s="46">
        <f t="shared" si="2"/>
        <v>-100.6353245112</v>
      </c>
      <c r="AD9" s="46">
        <f t="shared" si="3"/>
        <v>-50</v>
      </c>
      <c r="AE9" s="46">
        <f t="shared" si="7"/>
        <v>-26</v>
      </c>
      <c r="AF9" s="46">
        <f t="shared" si="8"/>
        <v>12</v>
      </c>
      <c r="AG9" s="46">
        <f t="shared" si="9"/>
        <v>-2</v>
      </c>
      <c r="AH9" s="46">
        <f t="shared" si="4"/>
        <v>-36</v>
      </c>
      <c r="AI9" s="46">
        <f t="shared" si="10"/>
        <v>-7</v>
      </c>
      <c r="AJ9" s="154">
        <f t="shared" si="10"/>
        <v>-14</v>
      </c>
    </row>
    <row r="10" spans="2:36" s="3" customFormat="1" ht="15.75" thickBot="1" x14ac:dyDescent="0.3">
      <c r="D10" s="85" t="s">
        <v>73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3">
        <v>0</v>
      </c>
      <c r="V10" s="155" t="s">
        <v>7</v>
      </c>
      <c r="W10" s="1"/>
      <c r="X10" s="13">
        <f>I10-H10</f>
        <v>0</v>
      </c>
      <c r="Y10" s="13">
        <f t="shared" si="6"/>
        <v>0</v>
      </c>
      <c r="Z10" s="13">
        <f>K10</f>
        <v>0</v>
      </c>
      <c r="AA10" s="13">
        <f t="shared" si="1"/>
        <v>0</v>
      </c>
      <c r="AB10" s="13">
        <f t="shared" si="1"/>
        <v>0</v>
      </c>
      <c r="AC10" s="13">
        <f t="shared" si="2"/>
        <v>0</v>
      </c>
      <c r="AD10" s="13">
        <f>O10</f>
        <v>0</v>
      </c>
      <c r="AE10" s="13">
        <f t="shared" si="7"/>
        <v>0</v>
      </c>
      <c r="AF10" s="13">
        <f t="shared" si="8"/>
        <v>0</v>
      </c>
      <c r="AG10" s="46">
        <f t="shared" si="9"/>
        <v>0</v>
      </c>
      <c r="AH10" s="46">
        <f t="shared" si="4"/>
        <v>0</v>
      </c>
      <c r="AI10" s="46">
        <f t="shared" si="10"/>
        <v>0</v>
      </c>
      <c r="AJ10" s="154">
        <f t="shared" si="10"/>
        <v>0</v>
      </c>
    </row>
    <row r="11" spans="2:36" s="3" customFormat="1" ht="15.75" thickBot="1" x14ac:dyDescent="0.3">
      <c r="D11" s="88" t="s">
        <v>74</v>
      </c>
      <c r="E11" s="75">
        <f>SUM(E6:E10)</f>
        <v>1186</v>
      </c>
      <c r="F11" s="75">
        <f>SUM(F6:F10)</f>
        <v>1003.9744355210007</v>
      </c>
      <c r="G11" s="75">
        <f>SUM(G6:G10)</f>
        <v>1116</v>
      </c>
      <c r="H11" s="75">
        <f t="shared" ref="H11:I11" si="11">SUM(H6:H10)</f>
        <v>247.78915335039915</v>
      </c>
      <c r="I11" s="75">
        <f t="shared" si="11"/>
        <v>379.24984877120119</v>
      </c>
      <c r="J11" s="75">
        <f t="shared" ref="J11:Q11" si="12">SUM(J6:J10)</f>
        <v>663.99999999999977</v>
      </c>
      <c r="K11" s="75">
        <f t="shared" si="12"/>
        <v>94</v>
      </c>
      <c r="L11" s="75">
        <f t="shared" si="12"/>
        <v>465</v>
      </c>
      <c r="M11" s="75">
        <f t="shared" si="12"/>
        <v>596.55913451119898</v>
      </c>
      <c r="N11" s="75">
        <f t="shared" si="12"/>
        <v>681</v>
      </c>
      <c r="O11" s="75">
        <f t="shared" ref="O11:S11" si="13">SUM(O6:O10)</f>
        <v>264</v>
      </c>
      <c r="P11" s="75">
        <f t="shared" si="13"/>
        <v>405</v>
      </c>
      <c r="Q11" s="75">
        <f t="shared" si="12"/>
        <v>448</v>
      </c>
      <c r="R11" s="75">
        <f t="shared" si="13"/>
        <v>352</v>
      </c>
      <c r="S11" s="75">
        <f t="shared" si="13"/>
        <v>103</v>
      </c>
      <c r="T11" s="75">
        <f>SUM(T6:T10)</f>
        <v>175</v>
      </c>
      <c r="U11" s="111">
        <f>SUM(U6:U10)</f>
        <v>231</v>
      </c>
      <c r="V11" s="41">
        <f>+U11/Q11-1</f>
        <v>-0.484375</v>
      </c>
      <c r="W11" s="1"/>
      <c r="X11" s="75">
        <f t="shared" ref="X11:AA11" si="14">SUM(X6:X10)</f>
        <v>131.4606954208021</v>
      </c>
      <c r="Y11" s="75">
        <f t="shared" si="14"/>
        <v>284.75015122879853</v>
      </c>
      <c r="Z11" s="75">
        <f t="shared" si="14"/>
        <v>94</v>
      </c>
      <c r="AA11" s="75">
        <f t="shared" si="14"/>
        <v>371</v>
      </c>
      <c r="AB11" s="75">
        <f>SUM(AB6:AB10)</f>
        <v>131.55913451119892</v>
      </c>
      <c r="AC11" s="75">
        <f>SUM(AC6:AC10)</f>
        <v>84.44086548880108</v>
      </c>
      <c r="AD11" s="75">
        <f>SUM(AD6:AD10)</f>
        <v>264</v>
      </c>
      <c r="AE11" s="75">
        <f t="shared" ref="AE11:AF11" si="15">SUM(AE6:AE10)</f>
        <v>141</v>
      </c>
      <c r="AF11" s="75">
        <f t="shared" si="15"/>
        <v>43</v>
      </c>
      <c r="AG11" s="75">
        <f>SUM(AG6:AG10)</f>
        <v>-96</v>
      </c>
      <c r="AH11" s="75">
        <f>SUM(AH6:AH10)</f>
        <v>103</v>
      </c>
      <c r="AI11" s="75">
        <f>SUM(AI6:AI10)</f>
        <v>72</v>
      </c>
      <c r="AJ11" s="111">
        <f>SUM(AJ6:AJ10)</f>
        <v>56</v>
      </c>
    </row>
    <row r="12" spans="2:36" s="3" customFormat="1" ht="9" customHeight="1" x14ac:dyDescent="0.25">
      <c r="D12" s="2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7"/>
      <c r="W12" s="1"/>
    </row>
    <row r="13" spans="2:36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86" t="s">
        <v>67</v>
      </c>
      <c r="W13" s="1"/>
      <c r="AH13" s="86"/>
      <c r="AI13" s="86"/>
      <c r="AJ13" s="86" t="s">
        <v>67</v>
      </c>
    </row>
    <row r="14" spans="2:36" s="3" customFormat="1" x14ac:dyDescent="0.25">
      <c r="D14" s="2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"/>
    </row>
    <row r="15" spans="2:36" s="3" customFormat="1" x14ac:dyDescent="0.25">
      <c r="D15" s="2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7"/>
      <c r="W15" s="1"/>
    </row>
    <row r="16" spans="2:36" s="3" customFormat="1" ht="15.75" thickBot="1" x14ac:dyDescent="0.3">
      <c r="D16" s="32"/>
      <c r="E16" s="45" t="s">
        <v>6</v>
      </c>
      <c r="F16" s="45" t="s">
        <v>16</v>
      </c>
      <c r="G16" s="45" t="s">
        <v>3</v>
      </c>
      <c r="H16" s="45" t="s">
        <v>17</v>
      </c>
      <c r="I16" s="45" t="s">
        <v>14</v>
      </c>
      <c r="J16" s="45" t="s">
        <v>4</v>
      </c>
      <c r="K16" s="45" t="s">
        <v>21</v>
      </c>
      <c r="L16" s="45" t="s">
        <v>15</v>
      </c>
      <c r="M16" s="45" t="s">
        <v>13</v>
      </c>
      <c r="N16" s="45" t="s">
        <v>19</v>
      </c>
      <c r="O16" s="45" t="s">
        <v>22</v>
      </c>
      <c r="P16" s="45" t="s">
        <v>23</v>
      </c>
      <c r="Q16" s="45" t="s">
        <v>24</v>
      </c>
      <c r="R16" s="45" t="s">
        <v>25</v>
      </c>
      <c r="S16" s="45" t="s">
        <v>26</v>
      </c>
      <c r="T16" s="45" t="s">
        <v>27</v>
      </c>
      <c r="U16" s="100" t="s">
        <v>165</v>
      </c>
      <c r="V16" s="40" t="s">
        <v>2</v>
      </c>
      <c r="W16" s="1"/>
      <c r="X16" s="45" t="s">
        <v>87</v>
      </c>
      <c r="Y16" s="45" t="s">
        <v>88</v>
      </c>
      <c r="Z16" s="45" t="s">
        <v>89</v>
      </c>
      <c r="AA16" s="45" t="s">
        <v>90</v>
      </c>
      <c r="AB16" s="45" t="s">
        <v>91</v>
      </c>
      <c r="AC16" s="45" t="s">
        <v>92</v>
      </c>
      <c r="AD16" s="45" t="s">
        <v>93</v>
      </c>
      <c r="AE16" s="45" t="s">
        <v>94</v>
      </c>
      <c r="AF16" s="45" t="s">
        <v>95</v>
      </c>
      <c r="AG16" s="45" t="s">
        <v>96</v>
      </c>
      <c r="AH16" s="45" t="s">
        <v>97</v>
      </c>
      <c r="AI16" s="45" t="s">
        <v>98</v>
      </c>
      <c r="AJ16" s="100" t="s">
        <v>166</v>
      </c>
    </row>
    <row r="17" spans="4:36" s="3" customFormat="1" x14ac:dyDescent="0.25">
      <c r="D17" s="85" t="s">
        <v>83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" si="16">-H7/H6</f>
        <v>0.30338970004232363</v>
      </c>
      <c r="I17" s="47">
        <f t="shared" ref="I17" si="17">-I7/I6</f>
        <v>0.27837572023709384</v>
      </c>
      <c r="J17" s="47">
        <f t="shared" ref="J17:Q17" si="18">-J7/J6</f>
        <v>0.14556331006979065</v>
      </c>
      <c r="K17" s="47">
        <f t="shared" si="18"/>
        <v>0.11728395061728394</v>
      </c>
      <c r="L17" s="47">
        <f t="shared" si="18"/>
        <v>4.7128129602356406E-2</v>
      </c>
      <c r="M17" s="47">
        <f t="shared" si="18"/>
        <v>3.5826147724684364E-2</v>
      </c>
      <c r="N17" s="47">
        <f t="shared" si="18"/>
        <v>0</v>
      </c>
      <c r="O17" s="47">
        <f t="shared" ref="O17:P17" si="19">-O7/O6</f>
        <v>0.10187110187110188</v>
      </c>
      <c r="P17" s="47">
        <f t="shared" si="19"/>
        <v>2.8493894165535955E-2</v>
      </c>
      <c r="Q17" s="47">
        <f t="shared" si="18"/>
        <v>3.9955604883462822E-2</v>
      </c>
      <c r="R17" s="47">
        <f>-R7/R6</f>
        <v>9.3896713615023476E-3</v>
      </c>
      <c r="S17" s="47">
        <f>-S7/S6</f>
        <v>8.11965811965812E-2</v>
      </c>
      <c r="T17" s="47">
        <f>-T7/T6</f>
        <v>0.10436893203883495</v>
      </c>
      <c r="U17" s="101">
        <f>-U7/U6</f>
        <v>0.13006756756756757</v>
      </c>
      <c r="V17" s="106">
        <f>(U17-Q17)*100</f>
        <v>9.0111962684104743</v>
      </c>
      <c r="W17" s="1"/>
      <c r="X17" s="47">
        <f t="shared" ref="X17" si="20">-X7/X6</f>
        <v>0.21402148982366256</v>
      </c>
      <c r="Y17" s="47">
        <f t="shared" ref="Y17:AF17" si="21">-Y7/Y6</f>
        <v>-0.24248874504329476</v>
      </c>
      <c r="Z17" s="47">
        <f t="shared" si="21"/>
        <v>0.11728395061728394</v>
      </c>
      <c r="AA17" s="47">
        <f t="shared" si="21"/>
        <v>-1.6901408450704224E-2</v>
      </c>
      <c r="AB17" s="47">
        <f t="shared" si="21"/>
        <v>1.4136182493318231E-2</v>
      </c>
      <c r="AC17" s="47">
        <f t="shared" si="21"/>
        <v>-0.10417264403850857</v>
      </c>
      <c r="AD17" s="47">
        <f t="shared" ref="AD17:AE17" si="22">-AD7/AD6</f>
        <v>0.10187110187110188</v>
      </c>
      <c r="AE17" s="47">
        <f t="shared" si="22"/>
        <v>-0.109375</v>
      </c>
      <c r="AF17" s="47">
        <f t="shared" si="21"/>
        <v>9.1463414634146339E-2</v>
      </c>
      <c r="AG17" s="47">
        <f>-AG7/AG6</f>
        <v>-0.15853658536585366</v>
      </c>
      <c r="AH17" s="47">
        <f>-AH7/AH6</f>
        <v>8.11965811965812E-2</v>
      </c>
      <c r="AI17" s="47">
        <f>-AI7/AI6</f>
        <v>0.1348314606741573</v>
      </c>
      <c r="AJ17" s="101">
        <f>-AJ7/AJ6</f>
        <v>0.18888888888888888</v>
      </c>
    </row>
    <row r="18" spans="4:36" s="3" customFormat="1" ht="15.75" thickBot="1" x14ac:dyDescent="0.3">
      <c r="D18" s="85" t="s">
        <v>84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" si="23">-(H9+H10+H8)/H6</f>
        <v>0.46636431572339704</v>
      </c>
      <c r="I18" s="47">
        <f t="shared" ref="I18" si="24">-(I9+I10+I8)/I6</f>
        <v>0.46786073656535432</v>
      </c>
      <c r="J18" s="47">
        <f t="shared" ref="J18:Q18" si="25">-(J9+J10+J8)/J6</f>
        <v>0.52342971086739787</v>
      </c>
      <c r="K18" s="47">
        <f t="shared" si="25"/>
        <v>0.59259259259259256</v>
      </c>
      <c r="L18" s="47">
        <f t="shared" si="25"/>
        <v>0.26804123711340205</v>
      </c>
      <c r="M18" s="47">
        <f t="shared" si="25"/>
        <v>0.38656394435792912</v>
      </c>
      <c r="N18" s="47">
        <f t="shared" si="25"/>
        <v>0.50936599423631124</v>
      </c>
      <c r="O18" s="47">
        <f t="shared" ref="O18:T18" si="26">-(O9+O10+O8)/O6</f>
        <v>0.34927234927234929</v>
      </c>
      <c r="P18" s="47">
        <f t="shared" si="26"/>
        <v>0.42198100407055633</v>
      </c>
      <c r="Q18" s="47">
        <f t="shared" si="25"/>
        <v>0.462819089900111</v>
      </c>
      <c r="R18" s="47">
        <f t="shared" si="26"/>
        <v>0.66009389671361507</v>
      </c>
      <c r="S18" s="47">
        <f t="shared" si="26"/>
        <v>0.47863247863247865</v>
      </c>
      <c r="T18" s="47">
        <f t="shared" si="26"/>
        <v>0.470873786407767</v>
      </c>
      <c r="U18" s="101">
        <f t="shared" ref="U18" si="27">-(U9+U10+U8)/U6</f>
        <v>0.47972972972972971</v>
      </c>
      <c r="V18" s="106">
        <f t="shared" ref="V18:V19" si="28">(U18-Q18)*100</f>
        <v>1.6910639829618712</v>
      </c>
      <c r="W18" s="1"/>
      <c r="X18" s="47">
        <f t="shared" ref="X18" si="29">-(X9+X10+X8)/X6</f>
        <v>0.47171062420453136</v>
      </c>
      <c r="Y18" s="47">
        <f t="shared" ref="Y18:AF18" si="30">-(Y9+Y10+Y8)/Y6</f>
        <v>0.68579145591268842</v>
      </c>
      <c r="Z18" s="47">
        <f t="shared" si="30"/>
        <v>0.59259259259259256</v>
      </c>
      <c r="AA18" s="47">
        <f t="shared" si="30"/>
        <v>-2.8169014084507043E-2</v>
      </c>
      <c r="AB18" s="47">
        <f t="shared" si="30"/>
        <v>0.61402435148704548</v>
      </c>
      <c r="AC18" s="47">
        <f t="shared" si="30"/>
        <v>0.8664407857402191</v>
      </c>
      <c r="AD18" s="47">
        <f t="shared" ref="AD18:AE18" si="31">-(AD9+AD10+AD8)/AD6</f>
        <v>0.34927234927234929</v>
      </c>
      <c r="AE18" s="47">
        <f t="shared" si="31"/>
        <v>0.55859375</v>
      </c>
      <c r="AF18" s="47">
        <f t="shared" si="30"/>
        <v>0.64634146341463417</v>
      </c>
      <c r="AG18" s="47">
        <f>-(AG9+AG10+AG8)/AG6</f>
        <v>1.7439024390243902</v>
      </c>
      <c r="AH18" s="47">
        <f>-(AH9+AH10+AH8)/AH6</f>
        <v>0.47863247863247865</v>
      </c>
      <c r="AI18" s="47">
        <f>-(AI9+AI10+AI8)/AI6</f>
        <v>0.4606741573033708</v>
      </c>
      <c r="AJ18" s="101">
        <f>-(AJ9+AJ10+AJ8)/AJ6</f>
        <v>0.5</v>
      </c>
    </row>
    <row r="19" spans="4:36" s="3" customFormat="1" ht="15.75" thickBot="1" x14ac:dyDescent="0.3">
      <c r="D19" s="88" t="s">
        <v>85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" si="32">-(H7+H9+H10+H8)/H6</f>
        <v>0.76975401576572067</v>
      </c>
      <c r="I19" s="49">
        <f t="shared" ref="I19" si="33">-(I7+I9+I10+I8)/I6</f>
        <v>0.74623645680244821</v>
      </c>
      <c r="J19" s="49">
        <f t="shared" ref="J19:Q19" si="34">-(J7+J9+J10+J8)/J6</f>
        <v>0.66899302093718849</v>
      </c>
      <c r="K19" s="49">
        <f t="shared" si="34"/>
        <v>0.70987654320987659</v>
      </c>
      <c r="L19" s="49">
        <f t="shared" si="34"/>
        <v>0.31516936671575846</v>
      </c>
      <c r="M19" s="49">
        <f t="shared" si="34"/>
        <v>0.42239009208261352</v>
      </c>
      <c r="N19" s="49">
        <f t="shared" si="34"/>
        <v>0.50936599423631124</v>
      </c>
      <c r="O19" s="49">
        <f t="shared" ref="O19:T19" si="35">-(O7+O9+O10+O8)/O6</f>
        <v>0.45114345114345117</v>
      </c>
      <c r="P19" s="49">
        <f t="shared" si="35"/>
        <v>0.45047489823609227</v>
      </c>
      <c r="Q19" s="49">
        <f t="shared" si="34"/>
        <v>0.50277469478357384</v>
      </c>
      <c r="R19" s="49">
        <f t="shared" si="35"/>
        <v>0.66948356807511733</v>
      </c>
      <c r="S19" s="49">
        <f t="shared" si="35"/>
        <v>0.55982905982905984</v>
      </c>
      <c r="T19" s="49">
        <f t="shared" si="35"/>
        <v>0.57524271844660191</v>
      </c>
      <c r="U19" s="102">
        <f t="shared" ref="U19" si="36">-(U7+U9+U10+U8)/U6</f>
        <v>0.60979729729729726</v>
      </c>
      <c r="V19" s="109">
        <f t="shared" si="28"/>
        <v>10.702260251372342</v>
      </c>
      <c r="W19" s="46"/>
      <c r="X19" s="49">
        <f t="shared" ref="X19:AA19" si="37">-(X7+X9+X10+X8)/X6</f>
        <v>0.6857321140281939</v>
      </c>
      <c r="Y19" s="49">
        <f t="shared" si="37"/>
        <v>0.44330271086939366</v>
      </c>
      <c r="Z19" s="49">
        <f t="shared" si="37"/>
        <v>0.70987654320987659</v>
      </c>
      <c r="AA19" s="49">
        <f t="shared" si="37"/>
        <v>-4.507042253521127E-2</v>
      </c>
      <c r="AB19" s="49">
        <f t="shared" ref="AB19:AI19" si="38">-(AB7+AB9+AB10+AB8)/AB6</f>
        <v>0.62816053398036376</v>
      </c>
      <c r="AC19" s="49">
        <f t="shared" si="38"/>
        <v>0.76226814170171053</v>
      </c>
      <c r="AD19" s="49">
        <f t="shared" si="38"/>
        <v>0.45114345114345117</v>
      </c>
      <c r="AE19" s="49">
        <f t="shared" si="38"/>
        <v>0.44921875</v>
      </c>
      <c r="AF19" s="49">
        <f t="shared" si="38"/>
        <v>0.73780487804878048</v>
      </c>
      <c r="AG19" s="49">
        <f t="shared" si="38"/>
        <v>1.5853658536585367</v>
      </c>
      <c r="AH19" s="49">
        <f t="shared" si="38"/>
        <v>0.55982905982905984</v>
      </c>
      <c r="AI19" s="49">
        <f t="shared" si="38"/>
        <v>0.5955056179775281</v>
      </c>
      <c r="AJ19" s="102">
        <f t="shared" ref="AJ19" si="39">-(AJ7+AJ9+AJ10+AJ8)/AJ6</f>
        <v>0.68888888888888888</v>
      </c>
    </row>
    <row r="20" spans="4:36" s="3" customFormat="1" x14ac:dyDescent="0.25">
      <c r="D20" s="26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5"/>
      <c r="W20" s="48"/>
    </row>
    <row r="21" spans="4:36" s="3" customFormat="1" x14ac:dyDescent="0.25">
      <c r="V21" s="5"/>
      <c r="W21" s="1"/>
    </row>
    <row r="22" spans="4:36" x14ac:dyDescent="0.2">
      <c r="X22" s="3"/>
      <c r="Y22" s="3"/>
      <c r="Z22" s="3"/>
      <c r="AA22" s="3"/>
      <c r="AB22" s="3"/>
      <c r="AC22" s="3"/>
      <c r="AD22" s="3"/>
      <c r="AE22" s="3"/>
      <c r="AF22" s="3"/>
      <c r="AG22" s="3"/>
    </row>
  </sheetData>
  <hyperlinks>
    <hyperlink ref="B2" location="'Financial Supplement&gt;&gt;&gt;'!A1" display="INDEX" xr:uid="{77C14362-2CE2-4424-ACC4-8E973C716B9F}"/>
  </hyperlinks>
  <pageMargins left="0.7" right="0.7" top="0.75" bottom="0.75" header="0.3" footer="0.3"/>
  <pageSetup paperSize="9" scale="71" orientation="landscape" r:id="rId1"/>
  <ignoredErrors>
    <ignoredError sqref="E11:Q11 R11:U11" formulaRange="1"/>
    <ignoredError sqref="Z5:Z11 AD5:AD11 AH5:AH10" formula="1"/>
    <ignoredError sqref="Q17:Q18 AF17:AF18 Q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0.249977111117893"/>
  </sheetPr>
  <dimension ref="B1:F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5.85546875" style="8" bestFit="1" customWidth="1"/>
    <col min="5" max="5" width="13.28515625" style="8" customWidth="1"/>
    <col min="6" max="6" width="13.140625" style="8" bestFit="1" customWidth="1"/>
    <col min="7" max="7" width="55.85546875" style="8" bestFit="1" customWidth="1"/>
    <col min="8" max="16384" width="11.42578125" style="8"/>
  </cols>
  <sheetData>
    <row r="1" spans="2:6" ht="16.5" customHeight="1" x14ac:dyDescent="0.25">
      <c r="B1" s="7"/>
    </row>
    <row r="2" spans="2:6" ht="18.75" customHeight="1" thickBot="1" x14ac:dyDescent="0.3">
      <c r="B2" s="143" t="s">
        <v>28</v>
      </c>
      <c r="D2" s="19" t="s">
        <v>107</v>
      </c>
      <c r="E2" s="20"/>
      <c r="F2" s="20"/>
    </row>
    <row r="3" spans="2:6" x14ac:dyDescent="0.25">
      <c r="D3" s="9"/>
      <c r="E3" s="9"/>
      <c r="F3" s="9"/>
    </row>
    <row r="4" spans="2:6" ht="16.5" thickBot="1" x14ac:dyDescent="0.3">
      <c r="D4" s="15" t="s">
        <v>40</v>
      </c>
      <c r="E4" s="16" t="s">
        <v>25</v>
      </c>
      <c r="F4" s="21" t="s">
        <v>165</v>
      </c>
    </row>
    <row r="5" spans="2:6" x14ac:dyDescent="0.25">
      <c r="D5" s="85" t="s">
        <v>41</v>
      </c>
      <c r="E5" s="13">
        <v>51661</v>
      </c>
      <c r="F5" s="23">
        <v>25924</v>
      </c>
    </row>
    <row r="6" spans="2:6" x14ac:dyDescent="0.25">
      <c r="D6" s="85" t="s">
        <v>108</v>
      </c>
      <c r="E6" s="13">
        <v>747472</v>
      </c>
      <c r="F6" s="23">
        <v>840880</v>
      </c>
    </row>
    <row r="7" spans="2:6" x14ac:dyDescent="0.25">
      <c r="D7" s="85" t="s">
        <v>45</v>
      </c>
      <c r="E7" s="13">
        <v>32403</v>
      </c>
      <c r="F7" s="23">
        <v>32134</v>
      </c>
    </row>
    <row r="8" spans="2:6" x14ac:dyDescent="0.25">
      <c r="D8" s="85" t="s">
        <v>109</v>
      </c>
      <c r="E8" s="13">
        <v>21956</v>
      </c>
      <c r="F8" s="23">
        <v>29983</v>
      </c>
    </row>
    <row r="9" spans="2:6" x14ac:dyDescent="0.25">
      <c r="D9" s="85" t="s">
        <v>48</v>
      </c>
      <c r="E9" s="13">
        <v>110044</v>
      </c>
      <c r="F9" s="23">
        <v>109288</v>
      </c>
    </row>
    <row r="10" spans="2:6" x14ac:dyDescent="0.25">
      <c r="D10" s="85" t="s">
        <v>51</v>
      </c>
      <c r="E10" s="13">
        <v>14482</v>
      </c>
      <c r="F10" s="23">
        <v>28089</v>
      </c>
    </row>
    <row r="11" spans="2:6" ht="16.5" thickBot="1" x14ac:dyDescent="0.3">
      <c r="D11" s="85" t="s">
        <v>52</v>
      </c>
      <c r="E11" s="13">
        <v>34438</v>
      </c>
      <c r="F11" s="23">
        <v>32791</v>
      </c>
    </row>
    <row r="12" spans="2:6" ht="16.5" thickBot="1" x14ac:dyDescent="0.3">
      <c r="D12" s="84" t="s">
        <v>53</v>
      </c>
      <c r="E12" s="17">
        <f>SUM(E5:E11)</f>
        <v>1012456</v>
      </c>
      <c r="F12" s="24">
        <f>SUM(F5:F11)</f>
        <v>1099089</v>
      </c>
    </row>
    <row r="13" spans="2:6" ht="6.75" customHeight="1" x14ac:dyDescent="0.25">
      <c r="D13" s="25"/>
    </row>
    <row r="14" spans="2:6" x14ac:dyDescent="0.25">
      <c r="F14" s="86" t="s">
        <v>67</v>
      </c>
    </row>
    <row r="17" spans="4:6" ht="16.5" thickBot="1" x14ac:dyDescent="0.3">
      <c r="D17" s="15" t="s">
        <v>54</v>
      </c>
      <c r="E17" s="16" t="s">
        <v>25</v>
      </c>
      <c r="F17" s="21" t="s">
        <v>165</v>
      </c>
    </row>
    <row r="18" spans="4:6" s="3" customFormat="1" ht="15" x14ac:dyDescent="0.25">
      <c r="D18" s="82" t="s">
        <v>55</v>
      </c>
      <c r="E18" s="12">
        <v>59288</v>
      </c>
      <c r="F18" s="22">
        <v>60855</v>
      </c>
    </row>
    <row r="19" spans="4:6" s="3" customFormat="1" ht="15" x14ac:dyDescent="0.25">
      <c r="D19" s="82" t="s">
        <v>46</v>
      </c>
      <c r="E19" s="12">
        <v>0</v>
      </c>
      <c r="F19" s="22">
        <v>0</v>
      </c>
    </row>
    <row r="20" spans="4:6" x14ac:dyDescent="0.25">
      <c r="D20" s="82" t="s">
        <v>110</v>
      </c>
      <c r="E20" s="12">
        <v>620312</v>
      </c>
      <c r="F20" s="22">
        <v>716422</v>
      </c>
    </row>
    <row r="21" spans="4:6" x14ac:dyDescent="0.25">
      <c r="D21" s="83" t="s">
        <v>111</v>
      </c>
      <c r="E21" s="13">
        <v>285226</v>
      </c>
      <c r="F21" s="23">
        <v>367389</v>
      </c>
    </row>
    <row r="22" spans="4:6" x14ac:dyDescent="0.25">
      <c r="D22" s="83" t="s">
        <v>112</v>
      </c>
      <c r="E22" s="13">
        <v>335087</v>
      </c>
      <c r="F22" s="23">
        <v>349032</v>
      </c>
    </row>
    <row r="23" spans="4:6" x14ac:dyDescent="0.25">
      <c r="D23" s="82" t="s">
        <v>60</v>
      </c>
      <c r="E23" s="12">
        <v>780</v>
      </c>
      <c r="F23" s="22">
        <v>390</v>
      </c>
    </row>
    <row r="24" spans="4:6" ht="16.5" thickBot="1" x14ac:dyDescent="0.3">
      <c r="D24" s="82" t="s">
        <v>61</v>
      </c>
      <c r="E24" s="12">
        <v>31745</v>
      </c>
      <c r="F24" s="22">
        <v>32115</v>
      </c>
    </row>
    <row r="25" spans="4:6" ht="16.5" thickBot="1" x14ac:dyDescent="0.3">
      <c r="D25" s="84" t="s">
        <v>62</v>
      </c>
      <c r="E25" s="18">
        <f>SUM(E18:E20,E23:E24)</f>
        <v>712125</v>
      </c>
      <c r="F25" s="150">
        <f>SUM(F18:F20,F23:F24)</f>
        <v>809782</v>
      </c>
    </row>
    <row r="26" spans="4:6" x14ac:dyDescent="0.25">
      <c r="D26" s="85" t="s">
        <v>63</v>
      </c>
      <c r="E26" s="13">
        <v>324243</v>
      </c>
      <c r="F26" s="23">
        <v>321287</v>
      </c>
    </row>
    <row r="27" spans="4:6" ht="16.5" thickBot="1" x14ac:dyDescent="0.3">
      <c r="D27" s="85" t="s">
        <v>64</v>
      </c>
      <c r="E27" s="13">
        <v>-23912</v>
      </c>
      <c r="F27" s="23">
        <v>-31980</v>
      </c>
    </row>
    <row r="28" spans="4:6" ht="16.5" thickBot="1" x14ac:dyDescent="0.3">
      <c r="D28" s="84" t="s">
        <v>65</v>
      </c>
      <c r="E28" s="18">
        <f t="shared" ref="E28:F28" si="0">SUM(E26:E27)</f>
        <v>300331</v>
      </c>
      <c r="F28" s="150">
        <f t="shared" si="0"/>
        <v>289307</v>
      </c>
    </row>
    <row r="29" spans="4:6" ht="16.5" thickBot="1" x14ac:dyDescent="0.3">
      <c r="D29" s="84" t="s">
        <v>66</v>
      </c>
      <c r="E29" s="18">
        <f t="shared" ref="E29:F29" si="1">E28+E25</f>
        <v>1012456</v>
      </c>
      <c r="F29" s="150">
        <f t="shared" si="1"/>
        <v>1099089</v>
      </c>
    </row>
    <row r="30" spans="4:6" ht="6.75" customHeight="1" x14ac:dyDescent="0.25">
      <c r="F30" s="86"/>
    </row>
    <row r="31" spans="4:6" x14ac:dyDescent="0.25">
      <c r="F31" s="86" t="s">
        <v>67</v>
      </c>
    </row>
    <row r="36" spans="6:6" x14ac:dyDescent="0.25">
      <c r="F36" s="3"/>
    </row>
    <row r="37" spans="6:6" s="3" customFormat="1" ht="15" x14ac:dyDescent="0.25"/>
    <row r="38" spans="6:6" s="3" customFormat="1" x14ac:dyDescent="0.25">
      <c r="F38" s="8"/>
    </row>
  </sheetData>
  <hyperlinks>
    <hyperlink ref="B2" location="'Financial Supplement&gt;&gt;&gt;'!A1" display="INDEX" xr:uid="{BB17482F-0A99-4327-947C-9E7D5E98BD38}"/>
  </hyperlink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Balance sheet - IFRS 17&amp;9</vt:lpstr>
      <vt:lpstr>P&amp;L - IFRS 17&amp;9</vt:lpstr>
      <vt:lpstr>Investments</vt:lpstr>
      <vt:lpstr>Solvency</vt:lpstr>
      <vt:lpstr>'Balance sheet'!Área_de_impresión</vt:lpstr>
      <vt:lpstr>'Balance sheet - IFRS 17&amp;9'!Área_de_impresión</vt:lpstr>
      <vt:lpstr>Motor!Área_de_impresión</vt:lpstr>
      <vt:lpstr>Other!Área_de_impresión</vt:lpstr>
      <vt:lpstr>'P&amp;L'!Área_de_impresión</vt:lpstr>
      <vt:lpstr>'P&amp;L - IFRS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2023-10-24T15:15:18Z</dcterms:modified>
</cp:coreProperties>
</file>