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2\3M 2022\3. Suplemento Financiero\"/>
    </mc:Choice>
  </mc:AlternateContent>
  <xr:revisionPtr revIDLastSave="0" documentId="13_ncr:1_{4A47ACDF-0D73-43AF-8B3F-95C0D92E3264}" xr6:coauthVersionLast="47" xr6:coauthVersionMax="47" xr10:uidLastSave="{00000000-0000-0000-0000-000000000000}"/>
  <bookViews>
    <workbookView xWindow="-120" yWindow="300" windowWidth="29040" windowHeight="1542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Investments" sheetId="19" r:id="rId9"/>
    <sheet name="Solvency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1">'Balance sheet'!$A$1:$F$36</definedName>
    <definedName name="_xlnm.Print_Area" localSheetId="4">Motor!$A$1:$U$18</definedName>
    <definedName name="_xlnm.Print_Area" localSheetId="7">Other!$A$1:$U$19</definedName>
    <definedName name="_xlnm.Print_Area" localSheetId="2">'P&amp;L'!$A$1:$T$26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3" l="1"/>
  <c r="G13" i="19"/>
  <c r="G6" i="19"/>
  <c r="G5" i="19"/>
  <c r="G22" i="19" s="1"/>
  <c r="G24" i="19" s="1"/>
  <c r="I13" i="25"/>
  <c r="Q13" i="25" s="1"/>
  <c r="I10" i="25"/>
  <c r="M14" i="25"/>
  <c r="M16" i="25" s="1"/>
  <c r="M13" i="25"/>
  <c r="M10" i="25"/>
  <c r="G34" i="24"/>
  <c r="G38" i="24" s="1"/>
  <c r="G33" i="24"/>
  <c r="G30" i="24"/>
  <c r="G24" i="24"/>
  <c r="G16" i="24"/>
  <c r="G11" i="24"/>
  <c r="G6" i="24"/>
  <c r="G20" i="23"/>
  <c r="G26" i="23"/>
  <c r="G25" i="23"/>
  <c r="F53" i="19"/>
  <c r="F36" i="19"/>
  <c r="F13" i="19"/>
  <c r="F6" i="19"/>
  <c r="F5" i="19" s="1"/>
  <c r="F22" i="19" s="1"/>
  <c r="F24" i="19" s="1"/>
  <c r="V17" i="22"/>
  <c r="V9" i="22"/>
  <c r="V8" i="22"/>
  <c r="V7" i="22"/>
  <c r="V19" i="22" s="1"/>
  <c r="V6" i="22"/>
  <c r="V18" i="22" s="1"/>
  <c r="V5" i="22"/>
  <c r="V10" i="22"/>
  <c r="M19" i="22"/>
  <c r="N19" i="22" s="1"/>
  <c r="M18" i="22"/>
  <c r="M17" i="22"/>
  <c r="N9" i="22"/>
  <c r="N8" i="22"/>
  <c r="N7" i="22"/>
  <c r="N6" i="22"/>
  <c r="N5" i="22"/>
  <c r="M11" i="22"/>
  <c r="V8" i="21"/>
  <c r="V7" i="21"/>
  <c r="V16" i="21" s="1"/>
  <c r="V6" i="21"/>
  <c r="V10" i="21" s="1"/>
  <c r="V5" i="21"/>
  <c r="V9" i="21"/>
  <c r="V18" i="21" s="1"/>
  <c r="M10" i="21"/>
  <c r="N9" i="21"/>
  <c r="N8" i="21"/>
  <c r="N7" i="21"/>
  <c r="N6" i="21"/>
  <c r="N5" i="21"/>
  <c r="M18" i="21"/>
  <c r="M17" i="21"/>
  <c r="M16" i="21"/>
  <c r="M10" i="20"/>
  <c r="N10" i="20"/>
  <c r="N9" i="20"/>
  <c r="N8" i="20"/>
  <c r="N7" i="20"/>
  <c r="N6" i="20"/>
  <c r="N5" i="20"/>
  <c r="M18" i="20"/>
  <c r="M17" i="20"/>
  <c r="M16" i="20"/>
  <c r="N16" i="20" s="1"/>
  <c r="V9" i="20"/>
  <c r="V8" i="20"/>
  <c r="V17" i="20" s="1"/>
  <c r="V7" i="20"/>
  <c r="V18" i="20" s="1"/>
  <c r="V6" i="20"/>
  <c r="V10" i="20" s="1"/>
  <c r="V5" i="20"/>
  <c r="M10" i="14"/>
  <c r="V8" i="14"/>
  <c r="V7" i="14"/>
  <c r="V16" i="14" s="1"/>
  <c r="V6" i="14"/>
  <c r="V5" i="14"/>
  <c r="V9" i="14"/>
  <c r="M18" i="14"/>
  <c r="N18" i="14" s="1"/>
  <c r="M17" i="14"/>
  <c r="N17" i="14" s="1"/>
  <c r="M16" i="14"/>
  <c r="N16" i="14"/>
  <c r="N9" i="14"/>
  <c r="N8" i="14"/>
  <c r="N7" i="14"/>
  <c r="N6" i="14"/>
  <c r="N5" i="14"/>
  <c r="M19" i="13"/>
  <c r="M10" i="13"/>
  <c r="N9" i="13"/>
  <c r="N8" i="13"/>
  <c r="N7" i="13"/>
  <c r="N6" i="13"/>
  <c r="N18" i="13"/>
  <c r="N17" i="13"/>
  <c r="N16" i="13"/>
  <c r="N15" i="13"/>
  <c r="N28" i="13"/>
  <c r="N27" i="13"/>
  <c r="N26" i="13"/>
  <c r="N25" i="13"/>
  <c r="N24" i="13"/>
  <c r="U17" i="25"/>
  <c r="U15" i="25"/>
  <c r="U14" i="25"/>
  <c r="U13" i="25"/>
  <c r="U12" i="25"/>
  <c r="U11" i="25"/>
  <c r="U10" i="25"/>
  <c r="U9" i="25"/>
  <c r="U8" i="25"/>
  <c r="U25" i="25" s="1"/>
  <c r="U7" i="25"/>
  <c r="U26" i="25" s="1"/>
  <c r="U6" i="25"/>
  <c r="U5" i="25"/>
  <c r="M26" i="25"/>
  <c r="M25" i="25"/>
  <c r="M24" i="25"/>
  <c r="S10" i="22"/>
  <c r="R10" i="22"/>
  <c r="S9" i="22"/>
  <c r="R9" i="22"/>
  <c r="S8" i="22"/>
  <c r="R8" i="22"/>
  <c r="S7" i="22"/>
  <c r="R7" i="22"/>
  <c r="S6" i="22"/>
  <c r="R6" i="22"/>
  <c r="S5" i="22"/>
  <c r="R5" i="22"/>
  <c r="I19" i="22"/>
  <c r="I18" i="22"/>
  <c r="I17" i="22"/>
  <c r="N17" i="22" s="1"/>
  <c r="I11" i="22"/>
  <c r="I18" i="21"/>
  <c r="N18" i="21" s="1"/>
  <c r="I17" i="21"/>
  <c r="N17" i="21" s="1"/>
  <c r="I16" i="21"/>
  <c r="N16" i="21" s="1"/>
  <c r="I10" i="21"/>
  <c r="N10" i="21" s="1"/>
  <c r="S9" i="21"/>
  <c r="R9" i="21"/>
  <c r="S8" i="21"/>
  <c r="R8" i="21"/>
  <c r="S7" i="21"/>
  <c r="R7" i="21"/>
  <c r="S6" i="21"/>
  <c r="S10" i="21" s="1"/>
  <c r="R6" i="21"/>
  <c r="S5" i="21"/>
  <c r="R5" i="21"/>
  <c r="S9" i="20"/>
  <c r="R9" i="20"/>
  <c r="S8" i="20"/>
  <c r="R8" i="20"/>
  <c r="S7" i="20"/>
  <c r="R7" i="20"/>
  <c r="S6" i="20"/>
  <c r="R6" i="20"/>
  <c r="S5" i="20"/>
  <c r="R5" i="20"/>
  <c r="I18" i="20"/>
  <c r="N18" i="20" s="1"/>
  <c r="I17" i="20"/>
  <c r="N17" i="20" s="1"/>
  <c r="I16" i="20"/>
  <c r="I10" i="20"/>
  <c r="S9" i="14"/>
  <c r="R9" i="14"/>
  <c r="R18" i="14" s="1"/>
  <c r="S8" i="14"/>
  <c r="R8" i="14"/>
  <c r="S7" i="14"/>
  <c r="R7" i="14"/>
  <c r="S6" i="14"/>
  <c r="R6" i="14"/>
  <c r="R16" i="14" s="1"/>
  <c r="S5" i="14"/>
  <c r="R5" i="14"/>
  <c r="I18" i="14"/>
  <c r="I17" i="14"/>
  <c r="I16" i="14"/>
  <c r="I10" i="14"/>
  <c r="J19" i="13"/>
  <c r="I19" i="13"/>
  <c r="I10" i="13"/>
  <c r="R17" i="25"/>
  <c r="Q17" i="25"/>
  <c r="R15" i="25"/>
  <c r="Q15" i="25"/>
  <c r="R12" i="25"/>
  <c r="Q12" i="25"/>
  <c r="R11" i="25"/>
  <c r="Q11" i="25"/>
  <c r="R9" i="25"/>
  <c r="Q9" i="25"/>
  <c r="R8" i="25"/>
  <c r="R25" i="25" s="1"/>
  <c r="Q8" i="25"/>
  <c r="R7" i="25"/>
  <c r="R24" i="25" s="1"/>
  <c r="Q7" i="25"/>
  <c r="R6" i="25"/>
  <c r="Q6" i="25"/>
  <c r="R5" i="25"/>
  <c r="Q5" i="25"/>
  <c r="I26" i="25"/>
  <c r="I25" i="25"/>
  <c r="I24" i="25"/>
  <c r="F9" i="23"/>
  <c r="L11" i="22"/>
  <c r="L10" i="21"/>
  <c r="L10" i="20"/>
  <c r="L10" i="14"/>
  <c r="L19" i="13"/>
  <c r="L10" i="13"/>
  <c r="L13" i="25"/>
  <c r="L10" i="25"/>
  <c r="F33" i="24"/>
  <c r="F30" i="24"/>
  <c r="F24" i="24"/>
  <c r="F16" i="24"/>
  <c r="F11" i="24"/>
  <c r="F6" i="24"/>
  <c r="U10" i="22"/>
  <c r="Q10" i="22"/>
  <c r="L19" i="22"/>
  <c r="U9" i="21"/>
  <c r="U8" i="21"/>
  <c r="U7" i="21"/>
  <c r="U6" i="21"/>
  <c r="U5" i="21"/>
  <c r="U9" i="22"/>
  <c r="U8" i="22"/>
  <c r="U7" i="22"/>
  <c r="U6" i="22"/>
  <c r="U5" i="22"/>
  <c r="U9" i="20"/>
  <c r="U8" i="20"/>
  <c r="U7" i="20"/>
  <c r="U6" i="20"/>
  <c r="U5" i="20"/>
  <c r="Q9" i="21"/>
  <c r="Q8" i="21"/>
  <c r="Q7" i="21"/>
  <c r="Q6" i="21"/>
  <c r="Q9" i="22"/>
  <c r="Q8" i="22"/>
  <c r="Q7" i="22"/>
  <c r="Q6" i="22"/>
  <c r="Q9" i="20"/>
  <c r="Q8" i="20"/>
  <c r="Q7" i="20"/>
  <c r="Q6" i="20"/>
  <c r="Q5" i="21"/>
  <c r="Q5" i="22"/>
  <c r="Q5" i="20"/>
  <c r="L18" i="21"/>
  <c r="L17" i="21"/>
  <c r="L16" i="21"/>
  <c r="L18" i="22"/>
  <c r="L17" i="22"/>
  <c r="L18" i="20"/>
  <c r="L17" i="20"/>
  <c r="L16" i="20"/>
  <c r="U9" i="14"/>
  <c r="U8" i="14"/>
  <c r="U7" i="14"/>
  <c r="U6" i="14"/>
  <c r="U10" i="14" s="1"/>
  <c r="Q9" i="14"/>
  <c r="Q8" i="14"/>
  <c r="Q7" i="14"/>
  <c r="Q6" i="14"/>
  <c r="U5" i="14"/>
  <c r="Q5" i="14"/>
  <c r="L18" i="14"/>
  <c r="L17" i="14"/>
  <c r="L16" i="14"/>
  <c r="T17" i="25"/>
  <c r="T15" i="25"/>
  <c r="T12" i="25"/>
  <c r="T11" i="25"/>
  <c r="T9" i="25"/>
  <c r="T8" i="25"/>
  <c r="T7" i="25"/>
  <c r="T6" i="25"/>
  <c r="T5" i="25"/>
  <c r="P17" i="25"/>
  <c r="P15" i="25"/>
  <c r="P12" i="25"/>
  <c r="P11" i="25"/>
  <c r="P9" i="25"/>
  <c r="P8" i="25"/>
  <c r="P7" i="25"/>
  <c r="P6" i="25"/>
  <c r="P5" i="25"/>
  <c r="L26" i="25"/>
  <c r="L25" i="25"/>
  <c r="L24" i="25"/>
  <c r="N10" i="13" l="1"/>
  <c r="V11" i="22"/>
  <c r="N18" i="22"/>
  <c r="N11" i="22"/>
  <c r="S11" i="22"/>
  <c r="V16" i="20"/>
  <c r="V18" i="14"/>
  <c r="N10" i="14"/>
  <c r="S16" i="14"/>
  <c r="N19" i="13"/>
  <c r="I14" i="25"/>
  <c r="I16" i="25" s="1"/>
  <c r="I18" i="25" s="1"/>
  <c r="Q18" i="25" s="1"/>
  <c r="M18" i="25"/>
  <c r="U18" i="25" s="1"/>
  <c r="U16" i="25"/>
  <c r="U24" i="25"/>
  <c r="V17" i="21"/>
  <c r="V10" i="14"/>
  <c r="V17" i="14"/>
  <c r="S18" i="14"/>
  <c r="Q10" i="14"/>
  <c r="S10" i="20"/>
  <c r="R10" i="20"/>
  <c r="R11" i="22"/>
  <c r="S18" i="22"/>
  <c r="Q10" i="25"/>
  <c r="T25" i="25"/>
  <c r="F34" i="24"/>
  <c r="R18" i="22"/>
  <c r="R19" i="22"/>
  <c r="S19" i="22"/>
  <c r="S17" i="21"/>
  <c r="R16" i="20"/>
  <c r="S18" i="20"/>
  <c r="R17" i="20"/>
  <c r="S17" i="20"/>
  <c r="R17" i="14"/>
  <c r="S17" i="14"/>
  <c r="R26" i="25"/>
  <c r="Q24" i="25"/>
  <c r="Q25" i="25"/>
  <c r="Q26" i="25"/>
  <c r="R17" i="22"/>
  <c r="S17" i="22"/>
  <c r="R10" i="21"/>
  <c r="R18" i="21"/>
  <c r="S18" i="21"/>
  <c r="R17" i="21"/>
  <c r="R16" i="21"/>
  <c r="S16" i="21"/>
  <c r="S16" i="20"/>
  <c r="R18" i="20"/>
  <c r="R10" i="14"/>
  <c r="S10" i="14"/>
  <c r="U17" i="22"/>
  <c r="U10" i="21"/>
  <c r="Q16" i="21"/>
  <c r="Q10" i="20"/>
  <c r="U18" i="21"/>
  <c r="U17" i="21"/>
  <c r="Q10" i="21"/>
  <c r="U10" i="20"/>
  <c r="Q16" i="20"/>
  <c r="Q18" i="14"/>
  <c r="Q17" i="14"/>
  <c r="P24" i="25"/>
  <c r="L14" i="25"/>
  <c r="L16" i="25" s="1"/>
  <c r="L18" i="25" s="1"/>
  <c r="U18" i="22"/>
  <c r="U11" i="22"/>
  <c r="U16" i="21"/>
  <c r="U18" i="14"/>
  <c r="Q18" i="20"/>
  <c r="U17" i="20"/>
  <c r="U18" i="20"/>
  <c r="Q18" i="21"/>
  <c r="U19" i="22"/>
  <c r="Q17" i="22"/>
  <c r="Q11" i="22"/>
  <c r="Q19" i="22"/>
  <c r="U16" i="20"/>
  <c r="Q17" i="21"/>
  <c r="Q17" i="20"/>
  <c r="Q18" i="22"/>
  <c r="U17" i="14"/>
  <c r="U16" i="14"/>
  <c r="Q16" i="14"/>
  <c r="T26" i="25"/>
  <c r="T24" i="25"/>
  <c r="P26" i="25"/>
  <c r="P25" i="25"/>
  <c r="T10" i="22"/>
  <c r="P10" i="22"/>
  <c r="T9" i="22"/>
  <c r="P9" i="22"/>
  <c r="T8" i="22"/>
  <c r="P8" i="22"/>
  <c r="T7" i="22"/>
  <c r="P7" i="22"/>
  <c r="T6" i="22"/>
  <c r="P6" i="22"/>
  <c r="T5" i="22"/>
  <c r="P5" i="22"/>
  <c r="T9" i="21"/>
  <c r="P9" i="21"/>
  <c r="T8" i="21"/>
  <c r="P8" i="21"/>
  <c r="T7" i="21"/>
  <c r="P7" i="21"/>
  <c r="T6" i="21"/>
  <c r="P6" i="21"/>
  <c r="T5" i="21"/>
  <c r="P5" i="21"/>
  <c r="T9" i="20"/>
  <c r="P9" i="20"/>
  <c r="T8" i="20"/>
  <c r="P8" i="20"/>
  <c r="T7" i="20"/>
  <c r="P7" i="20"/>
  <c r="T6" i="20"/>
  <c r="P6" i="20"/>
  <c r="T5" i="20"/>
  <c r="P5" i="20"/>
  <c r="Q16" i="25" l="1"/>
  <c r="Q14" i="25"/>
  <c r="P10" i="20"/>
  <c r="P11" i="22"/>
  <c r="T11" i="22"/>
  <c r="T10" i="21"/>
  <c r="P10" i="21"/>
  <c r="T10" i="20"/>
  <c r="T9" i="14"/>
  <c r="P9" i="14"/>
  <c r="T8" i="14"/>
  <c r="P8" i="14"/>
  <c r="T7" i="14"/>
  <c r="P7" i="14"/>
  <c r="T6" i="14"/>
  <c r="P6" i="14"/>
  <c r="T5" i="14"/>
  <c r="P5" i="14"/>
  <c r="T19" i="22"/>
  <c r="P19" i="22"/>
  <c r="T18" i="22"/>
  <c r="P18" i="22"/>
  <c r="T17" i="22"/>
  <c r="P17" i="22"/>
  <c r="T18" i="21"/>
  <c r="P18" i="21"/>
  <c r="T17" i="21"/>
  <c r="P17" i="21"/>
  <c r="T16" i="21"/>
  <c r="P16" i="21"/>
  <c r="T18" i="20"/>
  <c r="P18" i="20"/>
  <c r="T17" i="20"/>
  <c r="P17" i="20"/>
  <c r="T16" i="20"/>
  <c r="P16" i="20"/>
  <c r="T16" i="14" l="1"/>
  <c r="P16" i="14"/>
  <c r="P18" i="14"/>
  <c r="T18" i="14"/>
  <c r="P10" i="14"/>
  <c r="T10" i="14"/>
  <c r="P17" i="14"/>
  <c r="T17" i="14"/>
  <c r="J11" i="22"/>
  <c r="F11" i="22"/>
  <c r="J19" i="22"/>
  <c r="F19" i="22"/>
  <c r="D18" i="22"/>
  <c r="J18" i="22"/>
  <c r="F18" i="22"/>
  <c r="J17" i="22"/>
  <c r="F17" i="22"/>
  <c r="D10" i="21"/>
  <c r="J10" i="21"/>
  <c r="F10" i="21"/>
  <c r="J18" i="21"/>
  <c r="F18" i="21"/>
  <c r="J17" i="21"/>
  <c r="F17" i="21"/>
  <c r="J16" i="21"/>
  <c r="F16" i="21"/>
  <c r="D18" i="20"/>
  <c r="D17" i="20"/>
  <c r="D16" i="20"/>
  <c r="D10" i="20"/>
  <c r="J18" i="20"/>
  <c r="F18" i="20"/>
  <c r="J17" i="20"/>
  <c r="F17" i="20"/>
  <c r="J16" i="20"/>
  <c r="F16" i="20"/>
  <c r="J10" i="20"/>
  <c r="F10" i="20"/>
  <c r="D17" i="14"/>
  <c r="J18" i="14"/>
  <c r="F18" i="14"/>
  <c r="J17" i="14"/>
  <c r="F17" i="14"/>
  <c r="J16" i="14"/>
  <c r="F16" i="14"/>
  <c r="J10" i="14"/>
  <c r="F10" i="14"/>
  <c r="D19" i="13"/>
  <c r="F19" i="13"/>
  <c r="J10" i="13"/>
  <c r="F10" i="13"/>
  <c r="S17" i="25"/>
  <c r="S15" i="25"/>
  <c r="S12" i="25"/>
  <c r="S11" i="25"/>
  <c r="S9" i="25"/>
  <c r="S8" i="25"/>
  <c r="S7" i="25"/>
  <c r="S6" i="25"/>
  <c r="O17" i="25"/>
  <c r="O15" i="25"/>
  <c r="O12" i="25"/>
  <c r="O11" i="25"/>
  <c r="O9" i="25"/>
  <c r="O8" i="25"/>
  <c r="O7" i="25"/>
  <c r="O6" i="25"/>
  <c r="O5" i="25"/>
  <c r="S5" i="25"/>
  <c r="J13" i="25"/>
  <c r="R13" i="25" s="1"/>
  <c r="J10" i="25"/>
  <c r="R10" i="25" s="1"/>
  <c r="F13" i="25"/>
  <c r="F14" i="25" s="1"/>
  <c r="F16" i="25" s="1"/>
  <c r="F18" i="25" s="1"/>
  <c r="F10" i="25"/>
  <c r="D13" i="25"/>
  <c r="D10" i="25"/>
  <c r="J26" i="25"/>
  <c r="J25" i="25"/>
  <c r="J24" i="25"/>
  <c r="F26" i="25"/>
  <c r="F25" i="25"/>
  <c r="F24" i="25"/>
  <c r="D26" i="25"/>
  <c r="D25" i="25"/>
  <c r="D24" i="25"/>
  <c r="J14" i="25" l="1"/>
  <c r="S24" i="25"/>
  <c r="O26" i="25"/>
  <c r="O25" i="25"/>
  <c r="D11" i="22"/>
  <c r="D17" i="22"/>
  <c r="D19" i="22"/>
  <c r="D17" i="21"/>
  <c r="D16" i="21"/>
  <c r="D18" i="21"/>
  <c r="D18" i="14"/>
  <c r="D16" i="14"/>
  <c r="D10" i="14"/>
  <c r="D10" i="13"/>
  <c r="S26" i="25"/>
  <c r="O24" i="25"/>
  <c r="S25" i="25"/>
  <c r="D14" i="25"/>
  <c r="D16" i="25" s="1"/>
  <c r="D18" i="25" s="1"/>
  <c r="J16" i="25" l="1"/>
  <c r="R14" i="25"/>
  <c r="E6" i="24"/>
  <c r="J18" i="25" l="1"/>
  <c r="R18" i="25" s="1"/>
  <c r="R16" i="25"/>
  <c r="F25" i="23"/>
  <c r="F26" i="23"/>
  <c r="F20" i="23" l="1"/>
  <c r="G26" i="25" l="1"/>
  <c r="H26" i="25"/>
  <c r="E26" i="25"/>
  <c r="G25" i="25"/>
  <c r="H25" i="25"/>
  <c r="E25" i="25"/>
  <c r="G24" i="25"/>
  <c r="H24" i="25"/>
  <c r="E24" i="25"/>
  <c r="C26" i="25"/>
  <c r="C25" i="25"/>
  <c r="C24" i="25"/>
  <c r="D26" i="23" l="1"/>
  <c r="C26" i="23"/>
  <c r="D25" i="23"/>
  <c r="C25" i="23"/>
  <c r="E22" i="23"/>
  <c r="E25" i="23" s="1"/>
  <c r="E20" i="23"/>
  <c r="D20" i="23"/>
  <c r="C20" i="23"/>
  <c r="E26" i="23" l="1"/>
  <c r="D33" i="24" l="1"/>
  <c r="C33" i="24"/>
  <c r="E33" i="24"/>
  <c r="G13" i="25"/>
  <c r="O13" i="25" s="1"/>
  <c r="H13" i="25"/>
  <c r="E13" i="25"/>
  <c r="E14" i="25" s="1"/>
  <c r="E16" i="25" s="1"/>
  <c r="E18" i="25" s="1"/>
  <c r="C13" i="25"/>
  <c r="G10" i="25"/>
  <c r="O10" i="25" s="1"/>
  <c r="H10" i="25"/>
  <c r="E10" i="25"/>
  <c r="C10" i="25"/>
  <c r="H14" i="25" l="1"/>
  <c r="P13" i="25"/>
  <c r="P10" i="25"/>
  <c r="G14" i="25"/>
  <c r="C14" i="25"/>
  <c r="C16" i="25" s="1"/>
  <c r="C18" i="25" s="1"/>
  <c r="H16" i="25" l="1"/>
  <c r="P14" i="25"/>
  <c r="G16" i="25"/>
  <c r="O14" i="25"/>
  <c r="E24" i="24"/>
  <c r="E30" i="24" s="1"/>
  <c r="D24" i="24"/>
  <c r="D30" i="24" s="1"/>
  <c r="C24" i="24"/>
  <c r="C30" i="24" s="1"/>
  <c r="E11" i="24"/>
  <c r="D11" i="24"/>
  <c r="C11" i="24"/>
  <c r="D6" i="24"/>
  <c r="C6" i="24"/>
  <c r="H18" i="25" l="1"/>
  <c r="P16" i="25"/>
  <c r="G18" i="25"/>
  <c r="O18" i="25" s="1"/>
  <c r="O16" i="25"/>
  <c r="C16" i="24"/>
  <c r="D16" i="24"/>
  <c r="E16" i="24"/>
  <c r="P18" i="25" l="1"/>
  <c r="E34" i="24"/>
  <c r="E38" i="24" s="1"/>
  <c r="D34" i="24"/>
  <c r="D38" i="24" s="1"/>
  <c r="C34" i="24"/>
  <c r="C38" i="24" s="1"/>
  <c r="D36" i="19" l="1"/>
  <c r="G53" i="19"/>
  <c r="H52" i="19" s="1"/>
  <c r="E53" i="19"/>
  <c r="C53" i="19"/>
  <c r="D53" i="19"/>
  <c r="E36" i="19"/>
  <c r="G36" i="19"/>
  <c r="H31" i="19" s="1"/>
  <c r="H50" i="19" l="1"/>
  <c r="H35" i="19"/>
  <c r="H49" i="19"/>
  <c r="H51" i="19"/>
  <c r="H42" i="19"/>
  <c r="H43" i="19"/>
  <c r="H44" i="19"/>
  <c r="H45" i="19"/>
  <c r="H30" i="19"/>
  <c r="H32" i="19"/>
  <c r="H33" i="19"/>
  <c r="H46" i="19"/>
  <c r="H47" i="19"/>
  <c r="H34" i="19"/>
  <c r="H48" i="19"/>
  <c r="C36" i="19"/>
  <c r="H53" i="19" l="1"/>
  <c r="H36" i="19"/>
  <c r="K19" i="22" l="1"/>
  <c r="G19" i="22"/>
  <c r="K18" i="22"/>
  <c r="G18" i="22"/>
  <c r="K17" i="22"/>
  <c r="G17" i="22"/>
  <c r="H19" i="22"/>
  <c r="E19" i="22"/>
  <c r="C19" i="22"/>
  <c r="H18" i="22"/>
  <c r="C18" i="22"/>
  <c r="D13" i="19" l="1"/>
  <c r="D6" i="19"/>
  <c r="C6" i="19"/>
  <c r="E18" i="22"/>
  <c r="H17" i="22"/>
  <c r="E17" i="22"/>
  <c r="C17" i="22"/>
  <c r="K11" i="22"/>
  <c r="G11" i="22"/>
  <c r="H11" i="22"/>
  <c r="E11" i="22"/>
  <c r="C11" i="22"/>
  <c r="K18" i="21"/>
  <c r="G18" i="21"/>
  <c r="H18" i="21"/>
  <c r="E18" i="21"/>
  <c r="C18" i="21"/>
  <c r="K17" i="21"/>
  <c r="G17" i="21"/>
  <c r="H17" i="21"/>
  <c r="E17" i="21"/>
  <c r="C17" i="21"/>
  <c r="K16" i="21"/>
  <c r="G16" i="21"/>
  <c r="H16" i="21"/>
  <c r="E16" i="21"/>
  <c r="C16" i="21"/>
  <c r="K10" i="21"/>
  <c r="G10" i="21"/>
  <c r="H10" i="21"/>
  <c r="E10" i="21"/>
  <c r="C10" i="21"/>
  <c r="K18" i="20"/>
  <c r="G18" i="20"/>
  <c r="H18" i="20"/>
  <c r="E18" i="20"/>
  <c r="C18" i="20"/>
  <c r="K17" i="20"/>
  <c r="G17" i="20"/>
  <c r="H17" i="20"/>
  <c r="E17" i="20"/>
  <c r="C17" i="20"/>
  <c r="K16" i="20"/>
  <c r="G16" i="20"/>
  <c r="H16" i="20"/>
  <c r="E16" i="20"/>
  <c r="C16" i="20"/>
  <c r="K10" i="20"/>
  <c r="G10" i="20"/>
  <c r="H10" i="20"/>
  <c r="E10" i="20"/>
  <c r="C10" i="20"/>
  <c r="K10" i="14"/>
  <c r="G10" i="14"/>
  <c r="H10" i="14"/>
  <c r="K18" i="14"/>
  <c r="G18" i="14"/>
  <c r="H18" i="14"/>
  <c r="K17" i="14"/>
  <c r="G17" i="14"/>
  <c r="H17" i="14"/>
  <c r="K16" i="14"/>
  <c r="G16" i="14"/>
  <c r="H16" i="14"/>
  <c r="E17" i="14"/>
  <c r="E18" i="14"/>
  <c r="E10" i="14"/>
  <c r="E19" i="13"/>
  <c r="H19" i="13"/>
  <c r="G10" i="13"/>
  <c r="H10" i="13"/>
  <c r="E10" i="13"/>
  <c r="G19" i="13" l="1"/>
  <c r="D5" i="19"/>
  <c r="C13" i="19"/>
  <c r="C5" i="19" s="1"/>
  <c r="E16" i="14"/>
  <c r="D22" i="19" l="1"/>
  <c r="D24" i="19" s="1"/>
  <c r="C22" i="19"/>
  <c r="C24" i="19" s="1"/>
  <c r="E6" i="19" l="1"/>
  <c r="E13" i="19"/>
  <c r="H16" i="19" l="1"/>
  <c r="E5" i="19"/>
  <c r="E22" i="19" s="1"/>
  <c r="H11" i="19" l="1"/>
  <c r="H5" i="19"/>
  <c r="H19" i="19"/>
  <c r="H8" i="19"/>
  <c r="H7" i="19"/>
  <c r="H15" i="19"/>
  <c r="H12" i="19"/>
  <c r="H18" i="19"/>
  <c r="H14" i="19"/>
  <c r="H10" i="19"/>
  <c r="H20" i="19"/>
  <c r="H9" i="19"/>
  <c r="H17" i="19"/>
  <c r="H6" i="19"/>
  <c r="H21" i="19"/>
  <c r="H13" i="19"/>
  <c r="E24" i="19"/>
  <c r="H22" i="19" l="1"/>
  <c r="C17" i="14"/>
  <c r="C18" i="14"/>
  <c r="K19" i="13"/>
  <c r="K10" i="13"/>
  <c r="C10" i="13"/>
  <c r="C10" i="14"/>
  <c r="C16" i="14"/>
  <c r="K10" i="25" l="1"/>
  <c r="K13" i="25"/>
  <c r="C19" i="13"/>
  <c r="S13" i="25" l="1"/>
  <c r="T13" i="25"/>
  <c r="S10" i="25"/>
  <c r="T10" i="25"/>
  <c r="K26" i="25"/>
  <c r="K24" i="25"/>
  <c r="K14" i="25"/>
  <c r="T14" i="25" s="1"/>
  <c r="K25" i="25"/>
  <c r="K16" i="25" l="1"/>
  <c r="T16" i="25" s="1"/>
  <c r="S14" i="25"/>
  <c r="F38" i="24"/>
  <c r="K18" i="25" l="1"/>
  <c r="T18" i="25" s="1"/>
  <c r="S16" i="25"/>
  <c r="S18" i="25" l="1"/>
</calcChain>
</file>

<file path=xl/sharedStrings.xml><?xml version="1.0" encoding="utf-8"?>
<sst xmlns="http://schemas.openxmlformats.org/spreadsheetml/2006/main" count="468" uniqueCount="138">
  <si>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</si>
  <si>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</si>
  <si>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</si>
  <si>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</si>
  <si>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</si>
  <si>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</si>
  <si>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</si>
  <si>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</si>
  <si>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</si>
  <si>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</si>
  <si>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</si>
  <si>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</si>
  <si>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</si>
  <si>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</si>
  <si>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</si>
  <si>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</si>
  <si>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</si>
  <si>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</si>
  <si>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</si>
  <si>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</si>
  <si>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INDEX</t>
  </si>
  <si>
    <t>Balance sheet</t>
  </si>
  <si>
    <t>P&amp;L</t>
  </si>
  <si>
    <t>Business lines</t>
  </si>
  <si>
    <t>Motor</t>
  </si>
  <si>
    <t>Home</t>
  </si>
  <si>
    <t>Health</t>
  </si>
  <si>
    <t>Other</t>
  </si>
  <si>
    <t>Investments</t>
  </si>
  <si>
    <t>Solvency</t>
  </si>
  <si>
    <t>MOTOR</t>
  </si>
  <si>
    <t>HOME</t>
  </si>
  <si>
    <t>HEALTH</t>
  </si>
  <si>
    <t>OTHER INSURANCE BUSINESSES</t>
  </si>
  <si>
    <t>STANDALONE QUARTERS</t>
  </si>
  <si>
    <t>INCOME STATEMENT</t>
  </si>
  <si>
    <t>BALANCE SHEET</t>
  </si>
  <si>
    <t>ASSETS</t>
  </si>
  <si>
    <t>CASH AND CASH EQUIVALENTS</t>
  </si>
  <si>
    <t>AVAILABLE-FOR-SALE FINANCIAL ASSETS</t>
  </si>
  <si>
    <t>Equity investments</t>
  </si>
  <si>
    <t>Debt securities</t>
  </si>
  <si>
    <t>LOANS AND RECEIVABLES</t>
  </si>
  <si>
    <t>REINSURERS' SHARE OF TECHNICAL PROVISIONS</t>
  </si>
  <si>
    <t>PROPERTY, PLANT AND EQUIPMENT AND INVESTMENT PROPERTY</t>
  </si>
  <si>
    <t>Property, plant and equipment</t>
  </si>
  <si>
    <t>Investment property</t>
  </si>
  <si>
    <t>INTANGIBLE ASSETS</t>
  </si>
  <si>
    <t>OTHER ASSETS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</si>
  <si>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</si>
  <si>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LIABILITIES AND EQUITY</t>
  </si>
  <si>
    <t>DEBT AND ACCOUNTS PAYABLE</t>
  </si>
  <si>
    <t>HEDGING DERIVATIVES</t>
  </si>
  <si>
    <t>TECHNICAL PROVISIONS</t>
  </si>
  <si>
    <t>Provision for unearned premiums</t>
  </si>
  <si>
    <t>Provision for unexpired risks</t>
  </si>
  <si>
    <t>Provision for claims</t>
  </si>
  <si>
    <t>NON-TECHNICAL PROVISIONS</t>
  </si>
  <si>
    <t>OTHER LIABILITIES</t>
  </si>
  <si>
    <t>TOTAL LIABILITIES</t>
  </si>
  <si>
    <t>Equity</t>
  </si>
  <si>
    <t>Valuation adjustments</t>
  </si>
  <si>
    <t>TOTAL EQUITY</t>
  </si>
  <si>
    <t>Thousand euro</t>
  </si>
  <si>
    <t>3Q 2020</t>
  </si>
  <si>
    <t>4Q 2020</t>
  </si>
  <si>
    <t>3Q 2021</t>
  </si>
  <si>
    <t>4Q 2021</t>
  </si>
  <si>
    <t>GROSS WRITTEN PREMIUMS</t>
  </si>
  <si>
    <t>PREMIUMS EARNED, NET OF REINSURANCE</t>
  </si>
  <si>
    <t>Claims for the year, net of reinsurance</t>
  </si>
  <si>
    <t>Net operating expenses</t>
  </si>
  <si>
    <t>Other technical income and expenses</t>
  </si>
  <si>
    <t>TECHNICAL RESULT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</si>
  <si>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</si>
  <si>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</si>
  <si>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</si>
  <si>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</si>
  <si>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</si>
  <si>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PROFIT/(LOSS) BEFORE TAX</t>
  </si>
  <si>
    <t>Income tax</t>
  </si>
  <si>
    <t>PROFIT/(LOSS) FOR THE YEAR</t>
  </si>
  <si>
    <t>Loss ratio</t>
  </si>
  <si>
    <t>Expense ratio</t>
  </si>
  <si>
    <t>COMBINED RATIO</t>
  </si>
  <si>
    <t>BUSINESS LINES</t>
  </si>
  <si>
    <t>GROSS WRITTEN PREIMIUMS</t>
  </si>
  <si>
    <t>Thousand euro, ratios in %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</si>
  <si>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</si>
  <si>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</si>
  <si>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</si>
  <si>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</si>
  <si>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</si>
  <si>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</si>
  <si>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</si>
  <si>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</si>
  <si>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</si>
  <si>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</si>
  <si>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</si>
  <si>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</si>
  <si>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</si>
  <si>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</si>
  <si>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</si>
  <si>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</si>
  <si>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</si>
  <si>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</si>
  <si>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</si>
  <si>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</si>
  <si>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</si>
  <si>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</si>
  <si>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</si>
  <si>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</si>
  <si>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</si>
  <si>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</si>
  <si>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</si>
  <si>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</si>
  <si>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SOLVENCY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</si>
  <si>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</si>
  <si>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</si>
  <si>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</si>
  <si>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</si>
  <si>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</si>
  <si>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</si>
  <si>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</si>
  <si>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</si>
  <si>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</si>
  <si>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</si>
  <si>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</si>
  <si>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</si>
  <si>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</si>
  <si>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</si>
  <si>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United Kingdom</t>
  </si>
  <si>
    <t>3M 2021</t>
  </si>
  <si>
    <t>1Q 2021</t>
  </si>
  <si>
    <t>2Q 2021</t>
  </si>
  <si>
    <r>
      <t>TOTAL</t>
    </r>
    <r>
      <rPr>
        <b/>
        <sz val="10"/>
        <color rgb="FFC00000"/>
        <rFont val="Futura Std Light"/>
        <family val="2"/>
      </rPr>
      <t xml:space="preserve"> LIABILITIES AND EQUITY</t>
    </r>
  </si>
  <si>
    <t>3M 2022</t>
  </si>
  <si>
    <t>1Q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</si>
</sst>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70" formatCode="0.00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3" fillId="0" borderId="0" xfId="0" applyFont="1" applyAlignment="1">
      <alignment horizontal="right" vertical="center"/>
    </xf>
    <xf numFmtId="10" fontId="5" fillId="3" borderId="0" xfId="2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 readingOrder="1"/>
    </xf>
    <xf numFmtId="0" fontId="10" fillId="4" borderId="0" xfId="0" applyFont="1" applyFill="1" applyBorder="1" applyAlignment="1">
      <alignment horizontal="left" vertical="center" readingOrder="1"/>
    </xf>
    <xf numFmtId="165" fontId="9" fillId="3" borderId="0" xfId="1" applyNumberFormat="1" applyFont="1" applyFill="1" applyBorder="1" applyAlignment="1">
      <alignment vertical="center"/>
    </xf>
    <xf numFmtId="0" fontId="13" fillId="2" borderId="0" xfId="3" applyFont="1" applyAlignment="1">
      <alignment horizontal="center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4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12" fillId="0" borderId="1" xfId="1" applyNumberFormat="1" applyFont="1" applyFill="1" applyBorder="1" applyAlignment="1">
      <alignment horizontal="right" vertical="center"/>
    </xf>
    <xf numFmtId="166" fontId="12" fillId="0" borderId="2" xfId="1" applyNumberFormat="1" applyFont="1" applyFill="1" applyBorder="1" applyAlignment="1">
      <alignment vertical="center"/>
    </xf>
    <xf numFmtId="166" fontId="12" fillId="0" borderId="2" xfId="1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readingOrder="1"/>
    </xf>
    <xf numFmtId="0" fontId="11" fillId="0" borderId="3" xfId="0" applyFont="1" applyFill="1" applyBorder="1" applyAlignment="1">
      <alignment vertical="center" readingOrder="1"/>
    </xf>
    <xf numFmtId="14" fontId="10" fillId="5" borderId="7" xfId="1" applyNumberFormat="1" applyFont="1" applyFill="1" applyBorder="1" applyAlignment="1">
      <alignment horizontal="right" vertical="center"/>
    </xf>
    <xf numFmtId="166" fontId="12" fillId="5" borderId="8" xfId="1" applyNumberFormat="1" applyFont="1" applyFill="1" applyBorder="1" applyAlignment="1">
      <alignment horizontal="right" vertical="center"/>
    </xf>
    <xf numFmtId="166" fontId="14" fillId="5" borderId="8" xfId="1" applyNumberFormat="1" applyFont="1" applyFill="1" applyBorder="1" applyAlignment="1">
      <alignment horizontal="right" vertical="center"/>
    </xf>
    <xf numFmtId="166" fontId="12" fillId="5" borderId="9" xfId="1" applyNumberFormat="1" applyFont="1" applyFill="1" applyBorder="1" applyAlignment="1">
      <alignment vertical="center"/>
    </xf>
    <xf numFmtId="166" fontId="12" fillId="5" borderId="9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readingOrder="1"/>
    </xf>
    <xf numFmtId="0" fontId="12" fillId="0" borderId="0" xfId="0" applyFont="1" applyFill="1" applyBorder="1" applyAlignment="1">
      <alignment vertical="center" readingOrder="1"/>
    </xf>
    <xf numFmtId="0" fontId="14" fillId="0" borderId="0" xfId="0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66" fontId="12" fillId="5" borderId="8" xfId="1" applyNumberFormat="1" applyFont="1" applyFill="1" applyBorder="1" applyAlignment="1">
      <alignment vertical="center"/>
    </xf>
    <xf numFmtId="166" fontId="14" fillId="5" borderId="8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164" fontId="14" fillId="0" borderId="0" xfId="2" applyNumberFormat="1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64" fontId="17" fillId="0" borderId="0" xfId="2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7" fontId="16" fillId="0" borderId="0" xfId="0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 wrapText="1"/>
    </xf>
    <xf numFmtId="165" fontId="17" fillId="0" borderId="1" xfId="1" applyNumberFormat="1" applyFont="1" applyFill="1" applyBorder="1" applyAlignment="1">
      <alignment horizontal="right" vertical="center"/>
    </xf>
    <xf numFmtId="164" fontId="17" fillId="0" borderId="2" xfId="2" applyNumberFormat="1" applyFont="1" applyFill="1" applyBorder="1" applyAlignment="1">
      <alignment horizontal="right" vertical="center"/>
    </xf>
    <xf numFmtId="167" fontId="16" fillId="0" borderId="2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168" fontId="14" fillId="0" borderId="0" xfId="2" applyNumberFormat="1" applyFont="1" applyFill="1" applyBorder="1" applyAlignment="1">
      <alignment horizontal="right" vertical="center"/>
    </xf>
    <xf numFmtId="168" fontId="14" fillId="5" borderId="8" xfId="2" applyNumberFormat="1" applyFont="1" applyFill="1" applyBorder="1" applyAlignment="1">
      <alignment horizontal="right" vertical="center"/>
    </xf>
    <xf numFmtId="168" fontId="12" fillId="0" borderId="2" xfId="2" applyNumberFormat="1" applyFont="1" applyFill="1" applyBorder="1" applyAlignment="1">
      <alignment horizontal="right" vertical="center"/>
    </xf>
    <xf numFmtId="168" fontId="12" fillId="5" borderId="9" xfId="2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0" fontId="12" fillId="0" borderId="4" xfId="1" applyNumberFormat="1" applyFont="1" applyFill="1" applyBorder="1" applyAlignment="1">
      <alignment horizontal="right" vertical="center"/>
    </xf>
    <xf numFmtId="0" fontId="10" fillId="5" borderId="7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4" fontId="14" fillId="0" borderId="5" xfId="2" applyNumberFormat="1" applyFont="1" applyFill="1" applyBorder="1" applyAlignment="1">
      <alignment horizontal="right" vertical="center"/>
    </xf>
    <xf numFmtId="164" fontId="14" fillId="5" borderId="8" xfId="2" applyNumberFormat="1" applyFont="1" applyFill="1" applyBorder="1" applyAlignment="1">
      <alignment horizontal="right" vertical="center"/>
    </xf>
    <xf numFmtId="164" fontId="12" fillId="0" borderId="2" xfId="2" applyNumberFormat="1" applyFont="1" applyFill="1" applyBorder="1" applyAlignment="1">
      <alignment horizontal="right" vertical="center"/>
    </xf>
    <xf numFmtId="164" fontId="12" fillId="0" borderId="6" xfId="2" applyNumberFormat="1" applyFont="1" applyFill="1" applyBorder="1" applyAlignment="1">
      <alignment horizontal="right" vertical="center"/>
    </xf>
    <xf numFmtId="164" fontId="12" fillId="5" borderId="9" xfId="2" applyNumberFormat="1" applyFont="1" applyFill="1" applyBorder="1" applyAlignment="1">
      <alignment horizontal="right" vertical="center"/>
    </xf>
    <xf numFmtId="164" fontId="12" fillId="5" borderId="5" xfId="2" applyNumberFormat="1" applyFont="1" applyFill="1" applyBorder="1" applyAlignment="1">
      <alignment horizontal="center" vertical="center"/>
    </xf>
    <xf numFmtId="164" fontId="14" fillId="5" borderId="5" xfId="2" applyNumberFormat="1" applyFont="1" applyFill="1" applyBorder="1" applyAlignment="1">
      <alignment horizontal="center" vertical="center"/>
    </xf>
    <xf numFmtId="164" fontId="12" fillId="5" borderId="6" xfId="2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indent="1"/>
    </xf>
    <xf numFmtId="0" fontId="9" fillId="0" borderId="0" xfId="0" applyFont="1"/>
    <xf numFmtId="0" fontId="9" fillId="5" borderId="0" xfId="0" applyFont="1" applyFill="1" applyBorder="1" applyAlignment="1">
      <alignment vertical="center"/>
    </xf>
    <xf numFmtId="0" fontId="12" fillId="0" borderId="1" xfId="1" applyNumberFormat="1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5" fillId="0" borderId="0" xfId="0" applyFont="1"/>
    <xf numFmtId="0" fontId="14" fillId="0" borderId="0" xfId="0" applyFont="1"/>
    <xf numFmtId="3" fontId="14" fillId="0" borderId="0" xfId="0" applyNumberFormat="1" applyFont="1"/>
    <xf numFmtId="166" fontId="14" fillId="0" borderId="0" xfId="0" applyNumberFormat="1" applyFont="1"/>
    <xf numFmtId="0" fontId="12" fillId="0" borderId="0" xfId="0" applyFont="1"/>
    <xf numFmtId="3" fontId="12" fillId="0" borderId="0" xfId="0" applyNumberFormat="1" applyFont="1"/>
    <xf numFmtId="9" fontId="12" fillId="0" borderId="15" xfId="2" applyNumberFormat="1" applyFont="1" applyFill="1" applyBorder="1" applyAlignment="1">
      <alignment vertical="center"/>
    </xf>
    <xf numFmtId="9" fontId="12" fillId="0" borderId="1" xfId="2" applyNumberFormat="1" applyFont="1" applyFill="1" applyBorder="1" applyAlignment="1">
      <alignment vertical="center"/>
    </xf>
    <xf numFmtId="0" fontId="16" fillId="0" borderId="0" xfId="0" applyFont="1" applyAlignment="1">
      <alignment horizontal="left" indent="1"/>
    </xf>
    <xf numFmtId="9" fontId="16" fillId="0" borderId="0" xfId="2" applyFont="1"/>
    <xf numFmtId="9" fontId="16" fillId="5" borderId="8" xfId="2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/>
    </xf>
    <xf numFmtId="0" fontId="19" fillId="5" borderId="0" xfId="4" applyFont="1" applyFill="1" applyBorder="1" applyAlignment="1">
      <alignment horizontal="left" vertical="center" indent="1"/>
    </xf>
    <xf numFmtId="0" fontId="20" fillId="5" borderId="0" xfId="4" applyFont="1" applyFill="1" applyBorder="1" applyAlignment="1">
      <alignment horizontal="left" vertical="center" indent="2"/>
    </xf>
    <xf numFmtId="0" fontId="10" fillId="7" borderId="0" xfId="4" applyFont="1" applyFill="1" applyBorder="1" applyAlignment="1">
      <alignment horizontal="center" vertical="center"/>
    </xf>
    <xf numFmtId="3" fontId="12" fillId="5" borderId="8" xfId="1" applyNumberFormat="1" applyFont="1" applyFill="1" applyBorder="1" applyAlignment="1">
      <alignment vertical="center"/>
    </xf>
    <xf numFmtId="9" fontId="12" fillId="5" borderId="17" xfId="2" applyFont="1" applyFill="1" applyBorder="1" applyAlignment="1">
      <alignment vertical="center"/>
    </xf>
    <xf numFmtId="164" fontId="12" fillId="5" borderId="16" xfId="2" applyNumberFormat="1" applyFont="1" applyFill="1" applyBorder="1" applyAlignment="1">
      <alignment horizontal="center" vertical="center"/>
    </xf>
    <xf numFmtId="164" fontId="12" fillId="5" borderId="1" xfId="2" applyNumberFormat="1" applyFont="1" applyFill="1" applyBorder="1" applyAlignment="1">
      <alignment horizontal="center" vertical="center"/>
    </xf>
    <xf numFmtId="167" fontId="16" fillId="0" borderId="0" xfId="2" applyNumberFormat="1" applyFont="1" applyFill="1" applyBorder="1" applyAlignment="1">
      <alignment horizontal="right" vertical="center"/>
    </xf>
    <xf numFmtId="167" fontId="17" fillId="0" borderId="2" xfId="2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170" fontId="0" fillId="3" borderId="0" xfId="2" applyNumberFormat="1" applyFont="1" applyFill="1" applyAlignment="1">
      <alignment vertical="center"/>
    </xf>
    <xf numFmtId="165" fontId="14" fillId="5" borderId="8" xfId="1" applyNumberFormat="1" applyFont="1" applyFill="1" applyBorder="1" applyAlignment="1">
      <alignment horizontal="right" vertical="center"/>
    </xf>
    <xf numFmtId="165" fontId="12" fillId="0" borderId="2" xfId="1" applyNumberFormat="1" applyFont="1" applyFill="1" applyBorder="1" applyAlignment="1">
      <alignment horizontal="right" vertical="center"/>
    </xf>
    <xf numFmtId="165" fontId="12" fillId="5" borderId="9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5" fontId="12" fillId="0" borderId="5" xfId="1" applyNumberFormat="1" applyFont="1" applyFill="1" applyBorder="1" applyAlignment="1">
      <alignment horizontal="right" vertical="center"/>
    </xf>
    <xf numFmtId="165" fontId="12" fillId="5" borderId="8" xfId="1" applyNumberFormat="1" applyFont="1" applyFill="1" applyBorder="1" applyAlignment="1">
      <alignment horizontal="right" vertical="center"/>
    </xf>
    <xf numFmtId="165" fontId="14" fillId="0" borderId="5" xfId="1" applyNumberFormat="1" applyFont="1" applyFill="1" applyBorder="1" applyAlignment="1">
      <alignment horizontal="right" vertical="center"/>
    </xf>
    <xf numFmtId="165" fontId="12" fillId="0" borderId="6" xfId="1" applyNumberFormat="1" applyFont="1" applyFill="1" applyBorder="1" applyAlignment="1">
      <alignment horizontal="right" vertical="center"/>
    </xf>
    <xf numFmtId="165" fontId="12" fillId="5" borderId="10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/>
    </xf>
    <xf numFmtId="165" fontId="14" fillId="5" borderId="10" xfId="1" applyNumberFormat="1" applyFont="1" applyFill="1" applyBorder="1" applyAlignment="1">
      <alignment horizontal="center" vertical="center"/>
    </xf>
    <xf numFmtId="165" fontId="12" fillId="0" borderId="15" xfId="1" applyNumberFormat="1" applyFont="1" applyFill="1" applyBorder="1" applyAlignment="1">
      <alignment horizontal="center" vertical="center"/>
    </xf>
    <xf numFmtId="165" fontId="12" fillId="5" borderId="18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5" fontId="12" fillId="5" borderId="11" xfId="1" applyNumberFormat="1" applyFont="1" applyFill="1" applyBorder="1" applyAlignment="1">
      <alignment horizontal="center" vertical="center"/>
    </xf>
    <xf numFmtId="166" fontId="14" fillId="0" borderId="0" xfId="1" applyNumberFormat="1" applyFont="1" applyFill="1" applyBorder="1" applyAlignment="1">
      <alignment horizontal="center" vertical="center"/>
    </xf>
    <xf numFmtId="166" fontId="14" fillId="5" borderId="10" xfId="1" applyNumberFormat="1" applyFont="1" applyFill="1" applyBorder="1" applyAlignment="1">
      <alignment horizontal="center" vertical="center"/>
    </xf>
    <xf numFmtId="165" fontId="12" fillId="5" borderId="6" xfId="1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 readingOrder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left" vertical="center" indent="1" readingOrder="1"/>
    </xf>
    <xf numFmtId="0" fontId="12" fillId="0" borderId="2" xfId="0" applyFont="1" applyBorder="1" applyAlignment="1">
      <alignment horizontal="left" vertical="center" readingOrder="1"/>
    </xf>
    <xf numFmtId="0" fontId="4" fillId="4" borderId="0" xfId="0" applyFont="1" applyFill="1" applyAlignment="1">
      <alignment horizontal="left" vertical="center" readingOrder="1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0" fontId="12" fillId="0" borderId="1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2"/>
    </xf>
    <xf numFmtId="0" fontId="14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/>
    <xf numFmtId="9" fontId="12" fillId="5" borderId="7" xfId="2" applyFont="1" applyFill="1" applyBorder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0" fillId="5" borderId="13" xfId="1" applyNumberFormat="1" applyFont="1" applyFill="1" applyBorder="1" applyAlignment="1">
      <alignment horizontal="center" vertical="center"/>
    </xf>
    <xf numFmtId="0" fontId="10" fillId="5" borderId="4" xfId="1" applyNumberFormat="1" applyFont="1" applyFill="1" applyBorder="1" applyAlignment="1">
      <alignment horizontal="center" vertical="center"/>
    </xf>
  </cellXfs>
  <cellStyles count="6">
    <cellStyle name="Bueno" xfId="3" builtinId="26"/>
    <cellStyle name="Hipervínculo" xfId="4" builtinId="8"/>
    <cellStyle name="Millares" xfId="1" builtinId="3"/>
    <cellStyle name="Normal" xfId="0" builtinId="0"/>
    <cellStyle name="Normal 5" xfId="5" xr:uid="{06D17B51-E801-4572-B6B8-C55CA8E92F74}"/>
    <cellStyle name="Porcentaje" xfId="2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7938</xdr:colOff>
      <xdr:row>21</xdr:row>
      <xdr:rowOff>4822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BBC57C-B976-4711-89B1-38E6F8C9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0688" cy="4211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8050</xdr:colOff>
      <xdr:row>21</xdr:row>
      <xdr:rowOff>28938</xdr:rowOff>
    </xdr:to>
    <xdr:sp macro="" textlink="">
      <xdr:nvSpPr>
        <xdr:cNvPr id="10" name="Rectángulo 8">
          <a:extLst>
            <a:ext uri="{FF2B5EF4-FFF2-40B4-BE49-F238E27FC236}">
              <a16:creationId xmlns:a16="http://schemas.microsoft.com/office/drawing/2014/main" id="{FE879B8E-E899-4885-9D6A-E47CDE82AA1B}"/>
            </a:ext>
          </a:extLst>
        </xdr:cNvPr>
        <xdr:cNvSpPr/>
      </xdr:nvSpPr>
      <xdr:spPr>
        <a:xfrm>
          <a:off x="0" y="0"/>
          <a:ext cx="5500800" cy="4235813"/>
        </a:xfrm>
        <a:custGeom>
          <a:avLst/>
          <a:gdLst>
            <a:gd name="connsiteX0" fmla="*/ 0 w 5500800"/>
            <a:gd name="connsiteY0" fmla="*/ 0 h 4212000"/>
            <a:gd name="connsiteX1" fmla="*/ 5500800 w 5500800"/>
            <a:gd name="connsiteY1" fmla="*/ 0 h 4212000"/>
            <a:gd name="connsiteX2" fmla="*/ 5500800 w 5500800"/>
            <a:gd name="connsiteY2" fmla="*/ 4212000 h 4212000"/>
            <a:gd name="connsiteX3" fmla="*/ 0 w 5500800"/>
            <a:gd name="connsiteY3" fmla="*/ 4212000 h 4212000"/>
            <a:gd name="connsiteX4" fmla="*/ 0 w 5500800"/>
            <a:gd name="connsiteY4" fmla="*/ 0 h 4212000"/>
            <a:gd name="connsiteX0" fmla="*/ 1087437 w 5500800"/>
            <a:gd name="connsiteY0" fmla="*/ 0 h 4235813"/>
            <a:gd name="connsiteX1" fmla="*/ 5500800 w 5500800"/>
            <a:gd name="connsiteY1" fmla="*/ 23813 h 4235813"/>
            <a:gd name="connsiteX2" fmla="*/ 5500800 w 5500800"/>
            <a:gd name="connsiteY2" fmla="*/ 4235813 h 4235813"/>
            <a:gd name="connsiteX3" fmla="*/ 0 w 5500800"/>
            <a:gd name="connsiteY3" fmla="*/ 4235813 h 4235813"/>
            <a:gd name="connsiteX4" fmla="*/ 1087437 w 5500800"/>
            <a:gd name="connsiteY4" fmla="*/ 0 h 42358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00800" h="4235813">
              <a:moveTo>
                <a:pt x="1087437" y="0"/>
              </a:moveTo>
              <a:lnTo>
                <a:pt x="5500800" y="23813"/>
              </a:lnTo>
              <a:lnTo>
                <a:pt x="5500800" y="4235813"/>
              </a:lnTo>
              <a:lnTo>
                <a:pt x="0" y="4235813"/>
              </a:lnTo>
              <a:lnTo>
                <a:pt x="1087437" y="0"/>
              </a:lnTo>
              <a:close/>
            </a:path>
          </a:pathLst>
        </a:custGeom>
        <a:gradFill flip="none" rotWithShape="1">
          <a:gsLst>
            <a:gs pos="0">
              <a:schemeClr val="tx1">
                <a:alpha val="70000"/>
              </a:schemeClr>
            </a:gs>
            <a:gs pos="51000">
              <a:schemeClr val="bg1">
                <a:alpha val="0"/>
              </a:schemeClr>
            </a:gs>
            <a:gs pos="100000">
              <a:schemeClr val="bg1">
                <a:lumMod val="95000"/>
                <a:alpha val="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373061</xdr:colOff>
      <xdr:row>0</xdr:row>
      <xdr:rowOff>80106</xdr:rowOff>
    </xdr:from>
    <xdr:to>
      <xdr:col>6</xdr:col>
      <xdr:colOff>911224</xdr:colOff>
      <xdr:row>3</xdr:row>
      <xdr:rowOff>4339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35061" y="80106"/>
          <a:ext cx="4348163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Financial Supplement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3</xdr:col>
      <xdr:colOff>709119</xdr:colOff>
      <xdr:row>2</xdr:row>
      <xdr:rowOff>187398</xdr:rowOff>
    </xdr:from>
    <xdr:to>
      <xdr:col>6</xdr:col>
      <xdr:colOff>903286</xdr:colOff>
      <xdr:row>4</xdr:row>
      <xdr:rowOff>166387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2995119" y="623961"/>
          <a:ext cx="2480167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3M 2022 Results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H1:H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71"/>
    <col min="7" max="7" width="13.85546875" style="71" customWidth="1"/>
    <col min="8" max="8" width="31.5703125" style="36" bestFit="1" customWidth="1"/>
    <col min="9" max="16384" width="11.42578125" style="71"/>
  </cols>
  <sheetData>
    <row r="1" spans="8:8" ht="18.75" customHeight="1" x14ac:dyDescent="0.3">
      <c r="H1" s="70" t="s">
        <v>20</v>
      </c>
    </row>
    <row r="2" spans="8:8" x14ac:dyDescent="0.3">
      <c r="H2" s="87"/>
    </row>
    <row r="3" spans="8:8" x14ac:dyDescent="0.3">
      <c r="H3" s="88" t="s">
        <v>21</v>
      </c>
    </row>
    <row r="4" spans="8:8" x14ac:dyDescent="0.3">
      <c r="H4" s="88" t="s">
        <v>22</v>
      </c>
    </row>
    <row r="5" spans="8:8" x14ac:dyDescent="0.3">
      <c r="H5" s="88" t="s">
        <v>23</v>
      </c>
    </row>
    <row r="6" spans="8:8" x14ac:dyDescent="0.3">
      <c r="H6" s="89" t="s">
        <v>24</v>
      </c>
    </row>
    <row r="7" spans="8:8" x14ac:dyDescent="0.3">
      <c r="H7" s="89" t="s">
        <v>25</v>
      </c>
    </row>
    <row r="8" spans="8:8" x14ac:dyDescent="0.3">
      <c r="H8" s="89" t="s">
        <v>26</v>
      </c>
    </row>
    <row r="9" spans="8:8" x14ac:dyDescent="0.3">
      <c r="H9" s="89" t="s">
        <v>27</v>
      </c>
    </row>
    <row r="10" spans="8:8" x14ac:dyDescent="0.3">
      <c r="H10" s="88" t="s">
        <v>28</v>
      </c>
    </row>
    <row r="11" spans="8:8" x14ac:dyDescent="0.3">
      <c r="H11" s="88" t="s">
        <v>29</v>
      </c>
    </row>
    <row r="12" spans="8:8" x14ac:dyDescent="0.3">
      <c r="H12" s="72"/>
    </row>
    <row r="13" spans="8:8" x14ac:dyDescent="0.3">
      <c r="H13" s="72"/>
    </row>
    <row r="14" spans="8:8" x14ac:dyDescent="0.3">
      <c r="H14" s="72"/>
    </row>
    <row r="15" spans="8:8" x14ac:dyDescent="0.3">
      <c r="H15" s="72"/>
    </row>
    <row r="16" spans="8:8" x14ac:dyDescent="0.3">
      <c r="H16" s="72"/>
    </row>
    <row r="17" spans="8:8" x14ac:dyDescent="0.3">
      <c r="H17" s="72"/>
    </row>
    <row r="18" spans="8:8" x14ac:dyDescent="0.3">
      <c r="H18" s="72"/>
    </row>
    <row r="19" spans="8:8" x14ac:dyDescent="0.3">
      <c r="H19" s="72"/>
    </row>
    <row r="20" spans="8:8" x14ac:dyDescent="0.3">
      <c r="H20" s="72"/>
    </row>
    <row r="21" spans="8:8" x14ac:dyDescent="0.3">
      <c r="H21" s="72"/>
    </row>
    <row r="22" spans="8:8" x14ac:dyDescent="0.3">
      <c r="H22" s="28"/>
    </row>
    <row r="23" spans="8:8" x14ac:dyDescent="0.3">
      <c r="H23" s="28"/>
    </row>
    <row r="24" spans="8:8" x14ac:dyDescent="0.3">
      <c r="H24" s="28"/>
    </row>
  </sheetData>
  <hyperlinks>
    <hyperlink ref="H3" location="'Balance sheet'!A1" display="Balance sheet" xr:uid="{FE2BEE06-75C7-458B-8E29-1B6FC9F4F468}"/>
    <hyperlink ref="H4" location="'P&amp;L'!A1" display="P&amp;L" xr:uid="{8C6665BE-6ED0-43FA-91AF-EBEDC746B0DA}"/>
    <hyperlink ref="H5" location="'Business lines'!A1" display="Business lines" xr:uid="{E70D77EB-26A1-41E1-AB47-54ADE5E3CC66}"/>
    <hyperlink ref="H6" location="Motor!A1" display="Motor" xr:uid="{FE9C15AC-4688-4226-814C-BEE32E925A47}"/>
    <hyperlink ref="H7" location="Home!A1" display="Home" xr:uid="{AB5156D6-EA76-429A-BBDD-3B3C1DC45395}"/>
    <hyperlink ref="H8" location="Health!A1" display="Health" xr:uid="{F029259D-3D98-4A75-8E82-F7BA2FDA8A97}"/>
    <hyperlink ref="H9" location="Other!A1" display="Other" xr:uid="{E00B0154-20B2-4BDE-9A31-EDF9564A2FB3}"/>
    <hyperlink ref="H10" location="Investments!A1" display="Investments" xr:uid="{B737B1AA-133E-49F4-B9D1-C05F75064CE0}"/>
    <hyperlink ref="H11" location="Solvency!A1" display="Solvency" xr:uid="{008650B0-7C88-4A41-8497-3E1E93E0CC5E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28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75" customWidth="1"/>
    <col min="2" max="2" width="44.85546875" style="75" bestFit="1" customWidth="1"/>
    <col min="3" max="7" width="13.42578125" style="75" customWidth="1"/>
    <col min="8" max="16384" width="11.42578125" style="75"/>
  </cols>
  <sheetData>
    <row r="1" spans="1:7" ht="16.5" customHeight="1" x14ac:dyDescent="0.25"/>
    <row r="2" spans="1:7" ht="18.75" customHeight="1" thickBot="1" x14ac:dyDescent="0.3">
      <c r="A2" s="90" t="s">
        <v>20</v>
      </c>
      <c r="B2" s="117" t="s">
        <v>116</v>
      </c>
      <c r="C2" s="21"/>
      <c r="D2" s="21"/>
      <c r="E2" s="21"/>
      <c r="F2" s="21"/>
      <c r="G2" s="21"/>
    </row>
    <row r="4" spans="1:7" ht="16.5" customHeight="1" thickBot="1" x14ac:dyDescent="0.3">
      <c r="B4" s="17"/>
      <c r="C4" s="18" t="s">
        <v>6</v>
      </c>
      <c r="D4" s="18" t="s">
        <v>3</v>
      </c>
      <c r="E4" s="18" t="s">
        <v>4</v>
      </c>
      <c r="F4" s="18" t="s">
        <v>19</v>
      </c>
      <c r="G4" s="23" t="s">
        <v>136</v>
      </c>
    </row>
    <row r="5" spans="1:7" x14ac:dyDescent="0.25">
      <c r="B5" s="76" t="s">
        <v>117</v>
      </c>
      <c r="C5" s="77">
        <v>167878</v>
      </c>
      <c r="D5" s="77">
        <v>161007</v>
      </c>
      <c r="E5" s="77">
        <v>161004</v>
      </c>
      <c r="F5" s="77">
        <v>171657</v>
      </c>
      <c r="G5" s="34">
        <v>160370</v>
      </c>
    </row>
    <row r="6" spans="1:7" x14ac:dyDescent="0.25">
      <c r="B6" s="76" t="s">
        <v>118</v>
      </c>
      <c r="C6" s="77">
        <v>94357</v>
      </c>
      <c r="D6" s="77">
        <v>104548</v>
      </c>
      <c r="E6" s="77">
        <v>113510</v>
      </c>
      <c r="F6" s="77">
        <v>132271</v>
      </c>
      <c r="G6" s="34">
        <v>118080</v>
      </c>
    </row>
    <row r="7" spans="1:7" x14ac:dyDescent="0.25">
      <c r="B7" s="76" t="s">
        <v>119</v>
      </c>
      <c r="C7" s="77">
        <v>15833</v>
      </c>
      <c r="D7" s="77">
        <v>15886</v>
      </c>
      <c r="E7" s="77">
        <v>15291</v>
      </c>
      <c r="F7" s="77">
        <v>13086</v>
      </c>
      <c r="G7" s="34">
        <v>13889</v>
      </c>
    </row>
    <row r="8" spans="1:7" x14ac:dyDescent="0.25">
      <c r="B8" s="76" t="s">
        <v>120</v>
      </c>
      <c r="C8" s="77">
        <v>1436</v>
      </c>
      <c r="D8" s="77">
        <v>2233</v>
      </c>
      <c r="E8" s="77">
        <v>2778</v>
      </c>
      <c r="F8" s="77">
        <v>3134</v>
      </c>
      <c r="G8" s="34">
        <v>3277</v>
      </c>
    </row>
    <row r="9" spans="1:7" x14ac:dyDescent="0.25">
      <c r="B9" s="76" t="s">
        <v>121</v>
      </c>
      <c r="C9" s="78">
        <v>-58725</v>
      </c>
      <c r="D9" s="78">
        <v>-62201</v>
      </c>
      <c r="E9" s="78">
        <v>-65218</v>
      </c>
      <c r="F9" s="78">
        <f>F10-SUM(F5:F8)</f>
        <v>-71482</v>
      </c>
      <c r="G9" s="34">
        <f>G10-SUM(G5:G8)</f>
        <v>-66276</v>
      </c>
    </row>
    <row r="10" spans="1:7" x14ac:dyDescent="0.25">
      <c r="B10" s="79" t="s">
        <v>122</v>
      </c>
      <c r="C10" s="80">
        <v>220779</v>
      </c>
      <c r="D10" s="80">
        <v>221473</v>
      </c>
      <c r="E10" s="80">
        <v>227365</v>
      </c>
      <c r="F10" s="80">
        <v>248666</v>
      </c>
      <c r="G10" s="33">
        <v>229340</v>
      </c>
    </row>
    <row r="11" spans="1:7" x14ac:dyDescent="0.25">
      <c r="B11" s="76" t="s">
        <v>123</v>
      </c>
      <c r="C11" s="77">
        <v>24796</v>
      </c>
      <c r="D11" s="77">
        <v>26092</v>
      </c>
      <c r="E11" s="77">
        <v>26935</v>
      </c>
      <c r="F11" s="77">
        <v>27166</v>
      </c>
      <c r="G11" s="34">
        <v>27265</v>
      </c>
    </row>
    <row r="12" spans="1:7" ht="14.25" thickBot="1" x14ac:dyDescent="0.3">
      <c r="B12" s="76" t="s">
        <v>124</v>
      </c>
      <c r="C12" s="78">
        <v>-61394</v>
      </c>
      <c r="D12" s="78">
        <v>-61891</v>
      </c>
      <c r="E12" s="78">
        <v>-63575</v>
      </c>
      <c r="F12" s="78">
        <v>-68958</v>
      </c>
      <c r="G12" s="34">
        <v>-64151</v>
      </c>
    </row>
    <row r="13" spans="1:7" ht="14.25" thickBot="1" x14ac:dyDescent="0.3">
      <c r="B13" s="121" t="s">
        <v>125</v>
      </c>
      <c r="C13" s="19">
        <v>184181</v>
      </c>
      <c r="D13" s="19">
        <v>185674</v>
      </c>
      <c r="E13" s="19">
        <v>190725</v>
      </c>
      <c r="F13" s="19">
        <v>206874</v>
      </c>
      <c r="G13" s="26">
        <v>192454</v>
      </c>
    </row>
    <row r="14" spans="1:7" ht="9" customHeight="1" x14ac:dyDescent="0.25">
      <c r="B14" s="29"/>
      <c r="C14" s="38"/>
      <c r="D14" s="38"/>
      <c r="E14" s="38"/>
      <c r="F14" s="38"/>
      <c r="G14" s="76"/>
    </row>
    <row r="15" spans="1:7" x14ac:dyDescent="0.25">
      <c r="B15" s="76"/>
      <c r="C15" s="76"/>
      <c r="D15" s="76"/>
      <c r="E15" s="76"/>
      <c r="G15" s="140" t="s">
        <v>63</v>
      </c>
    </row>
    <row r="16" spans="1:7" x14ac:dyDescent="0.25">
      <c r="B16" s="76"/>
      <c r="C16" s="76"/>
      <c r="D16" s="76"/>
      <c r="E16" s="76"/>
      <c r="F16" s="76"/>
      <c r="G16" s="76"/>
    </row>
    <row r="17" spans="2:7" x14ac:dyDescent="0.25">
      <c r="B17" s="76"/>
      <c r="C17" s="76"/>
      <c r="D17" s="76"/>
      <c r="E17" s="76"/>
      <c r="F17" s="76"/>
      <c r="G17" s="76"/>
    </row>
    <row r="18" spans="2:7" ht="14.25" thickBot="1" x14ac:dyDescent="0.3">
      <c r="B18" s="17"/>
      <c r="C18" s="18" t="s">
        <v>6</v>
      </c>
      <c r="D18" s="18" t="s">
        <v>3</v>
      </c>
      <c r="E18" s="18" t="s">
        <v>4</v>
      </c>
      <c r="F18" s="18" t="s">
        <v>19</v>
      </c>
      <c r="G18" s="23" t="s">
        <v>136</v>
      </c>
    </row>
    <row r="19" spans="2:7" x14ac:dyDescent="0.25">
      <c r="B19" s="79" t="s">
        <v>126</v>
      </c>
      <c r="C19" s="80">
        <v>82881</v>
      </c>
      <c r="D19" s="80">
        <v>83553</v>
      </c>
      <c r="E19" s="80">
        <v>85826</v>
      </c>
      <c r="F19" s="80">
        <v>93093</v>
      </c>
      <c r="G19" s="33">
        <v>86604</v>
      </c>
    </row>
    <row r="20" spans="2:7" x14ac:dyDescent="0.25">
      <c r="B20" s="79" t="s">
        <v>125</v>
      </c>
      <c r="C20" s="80">
        <f t="shared" ref="C20" si="0">+C13</f>
        <v>184181</v>
      </c>
      <c r="D20" s="80">
        <f>+D13</f>
        <v>185674</v>
      </c>
      <c r="E20" s="80">
        <f>+E13</f>
        <v>190725</v>
      </c>
      <c r="F20" s="80">
        <f>+F13</f>
        <v>206874</v>
      </c>
      <c r="G20" s="91">
        <f>+G13</f>
        <v>192454</v>
      </c>
    </row>
    <row r="21" spans="2:7" x14ac:dyDescent="0.25">
      <c r="B21" s="79"/>
      <c r="C21" s="80"/>
      <c r="D21" s="80"/>
      <c r="E21" s="80"/>
      <c r="F21" s="80"/>
      <c r="G21" s="33"/>
    </row>
    <row r="22" spans="2:7" x14ac:dyDescent="0.25">
      <c r="B22" s="79" t="s">
        <v>127</v>
      </c>
      <c r="C22" s="80">
        <v>385270.20790162636</v>
      </c>
      <c r="D22" s="80">
        <v>391162.2635219369</v>
      </c>
      <c r="E22" s="80">
        <f>526011.113113886-120000</f>
        <v>406011.11311388598</v>
      </c>
      <c r="F22" s="80">
        <v>384082.53742492298</v>
      </c>
      <c r="G22" s="33">
        <v>375489.29923863144</v>
      </c>
    </row>
    <row r="23" spans="2:7" x14ac:dyDescent="0.25">
      <c r="B23" s="83" t="s">
        <v>128</v>
      </c>
      <c r="C23" s="84">
        <v>1</v>
      </c>
      <c r="D23" s="84">
        <v>1</v>
      </c>
      <c r="E23" s="84">
        <v>1</v>
      </c>
      <c r="F23" s="84">
        <v>1</v>
      </c>
      <c r="G23" s="85">
        <v>1</v>
      </c>
    </row>
    <row r="24" spans="2:7" ht="14.25" thickBot="1" x14ac:dyDescent="0.3">
      <c r="B24" s="79"/>
      <c r="C24" s="80"/>
      <c r="D24" s="80"/>
      <c r="E24" s="80"/>
      <c r="F24" s="80"/>
      <c r="G24" s="33"/>
    </row>
    <row r="25" spans="2:7" x14ac:dyDescent="0.25">
      <c r="B25" s="132" t="s">
        <v>129</v>
      </c>
      <c r="C25" s="81">
        <f t="shared" ref="C25" si="1">+C22/C19</f>
        <v>4.6484744139383736</v>
      </c>
      <c r="D25" s="81">
        <f>+D22/D19</f>
        <v>4.6816064476671917</v>
      </c>
      <c r="E25" s="81">
        <f>+E22/E19</f>
        <v>4.7306307309426741</v>
      </c>
      <c r="F25" s="81">
        <f>+F22/F19</f>
        <v>4.1257939632939422</v>
      </c>
      <c r="G25" s="92">
        <f>+G22/G19</f>
        <v>4.3357038847932134</v>
      </c>
    </row>
    <row r="26" spans="2:7" ht="14.25" thickBot="1" x14ac:dyDescent="0.3">
      <c r="B26" s="133" t="s">
        <v>130</v>
      </c>
      <c r="C26" s="82">
        <f>+C22/C13</f>
        <v>2.0918021288929172</v>
      </c>
      <c r="D26" s="82">
        <f>+D22/D13</f>
        <v>2.1067153372143483</v>
      </c>
      <c r="E26" s="82">
        <f>+E22/E13</f>
        <v>2.1287776280712332</v>
      </c>
      <c r="F26" s="82">
        <f>+F22/F13</f>
        <v>1.8566013004288744</v>
      </c>
      <c r="G26" s="141">
        <f>+G22/G13</f>
        <v>1.9510599896007952</v>
      </c>
    </row>
    <row r="27" spans="2:7" ht="9" customHeight="1" x14ac:dyDescent="0.25">
      <c r="B27" s="29"/>
      <c r="C27" s="38"/>
      <c r="D27" s="38"/>
      <c r="E27" s="38"/>
      <c r="F27" s="38"/>
      <c r="G27" s="86"/>
    </row>
    <row r="28" spans="2:7" x14ac:dyDescent="0.25">
      <c r="B28" s="76"/>
      <c r="C28" s="76"/>
      <c r="D28" s="76"/>
      <c r="E28" s="76"/>
      <c r="G28" s="140" t="s">
        <v>63</v>
      </c>
    </row>
  </sheetData>
  <hyperlinks>
    <hyperlink ref="A2" location="'Financial supplement&gt;&gt;&gt;'!A1" display="INDEX" xr:uid="{10247556-FCE0-4E90-9E26-BE86854B33EF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J38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9" customWidth="1"/>
    <col min="2" max="2" width="63.7109375" style="9" customWidth="1"/>
    <col min="3" max="6" width="13.28515625" style="9" customWidth="1"/>
    <col min="7" max="7" width="13.140625" style="9" bestFit="1" customWidth="1"/>
    <col min="8" max="16384" width="11.42578125" style="9"/>
  </cols>
  <sheetData>
    <row r="1" spans="1:7" ht="16.5" customHeight="1" x14ac:dyDescent="0.25">
      <c r="A1" s="8"/>
    </row>
    <row r="2" spans="1:7" ht="18.75" customHeight="1" thickBot="1" x14ac:dyDescent="0.3">
      <c r="A2" s="90" t="s">
        <v>20</v>
      </c>
      <c r="B2" s="117" t="s">
        <v>36</v>
      </c>
      <c r="C2" s="22"/>
      <c r="D2" s="22"/>
      <c r="E2" s="22"/>
      <c r="F2" s="22"/>
      <c r="G2" s="22"/>
    </row>
    <row r="3" spans="1:7" x14ac:dyDescent="0.25">
      <c r="B3" s="10"/>
      <c r="C3" s="10"/>
      <c r="D3" s="10"/>
      <c r="E3" s="10"/>
      <c r="F3" s="10"/>
      <c r="G3" s="10"/>
    </row>
    <row r="4" spans="1:7" ht="16.5" thickBot="1" x14ac:dyDescent="0.3">
      <c r="B4" s="118" t="s">
        <v>37</v>
      </c>
      <c r="C4" s="18" t="s">
        <v>6</v>
      </c>
      <c r="D4" s="18" t="s">
        <v>3</v>
      </c>
      <c r="E4" s="18" t="s">
        <v>4</v>
      </c>
      <c r="F4" s="18" t="s">
        <v>19</v>
      </c>
      <c r="G4" s="23" t="s">
        <v>136</v>
      </c>
    </row>
    <row r="5" spans="1:7" x14ac:dyDescent="0.25">
      <c r="B5" s="119" t="s">
        <v>38</v>
      </c>
      <c r="C5" s="14">
        <v>166776</v>
      </c>
      <c r="D5" s="14">
        <v>144937</v>
      </c>
      <c r="E5" s="14">
        <v>162500</v>
      </c>
      <c r="F5" s="14">
        <v>115788</v>
      </c>
      <c r="G5" s="24">
        <v>120778</v>
      </c>
    </row>
    <row r="6" spans="1:7" x14ac:dyDescent="0.25">
      <c r="B6" s="119" t="s">
        <v>39</v>
      </c>
      <c r="C6" s="14">
        <f>SUM(C7:C8)</f>
        <v>782715</v>
      </c>
      <c r="D6" s="14">
        <f>SUM(D7:D8)</f>
        <v>834498</v>
      </c>
      <c r="E6" s="14">
        <f>SUM(E7:E8)</f>
        <v>917074</v>
      </c>
      <c r="F6" s="14">
        <f>SUM(F7:F8)</f>
        <v>864978</v>
      </c>
      <c r="G6" s="24">
        <f>SUM(G7:G8)</f>
        <v>822523</v>
      </c>
    </row>
    <row r="7" spans="1:7" x14ac:dyDescent="0.25">
      <c r="B7" s="120" t="s">
        <v>40</v>
      </c>
      <c r="C7" s="15">
        <v>88763</v>
      </c>
      <c r="D7" s="15">
        <v>116688</v>
      </c>
      <c r="E7" s="15">
        <v>125855</v>
      </c>
      <c r="F7" s="15">
        <v>153963</v>
      </c>
      <c r="G7" s="25">
        <v>149002</v>
      </c>
    </row>
    <row r="8" spans="1:7" x14ac:dyDescent="0.25">
      <c r="B8" s="120" t="s">
        <v>41</v>
      </c>
      <c r="C8" s="15">
        <v>693952</v>
      </c>
      <c r="D8" s="15">
        <v>717810</v>
      </c>
      <c r="E8" s="15">
        <v>791219</v>
      </c>
      <c r="F8" s="15">
        <v>711015</v>
      </c>
      <c r="G8" s="25">
        <v>673521</v>
      </c>
    </row>
    <row r="9" spans="1:7" x14ac:dyDescent="0.25">
      <c r="B9" s="119" t="s">
        <v>42</v>
      </c>
      <c r="C9" s="14">
        <v>115951</v>
      </c>
      <c r="D9" s="14">
        <v>106760</v>
      </c>
      <c r="E9" s="14">
        <v>110373</v>
      </c>
      <c r="F9" s="14">
        <v>120615</v>
      </c>
      <c r="G9" s="24">
        <v>127891</v>
      </c>
    </row>
    <row r="10" spans="1:7" x14ac:dyDescent="0.25">
      <c r="B10" s="119" t="s">
        <v>43</v>
      </c>
      <c r="C10" s="14">
        <v>7318</v>
      </c>
      <c r="D10" s="14">
        <v>9517</v>
      </c>
      <c r="E10" s="14">
        <v>12477</v>
      </c>
      <c r="F10" s="14">
        <v>20153</v>
      </c>
      <c r="G10" s="24">
        <v>22966</v>
      </c>
    </row>
    <row r="11" spans="1:7" x14ac:dyDescent="0.25">
      <c r="B11" s="119" t="s">
        <v>44</v>
      </c>
      <c r="C11" s="14">
        <f t="shared" ref="C11:E11" si="0">SUM(C12:C13)</f>
        <v>110844</v>
      </c>
      <c r="D11" s="14">
        <f t="shared" si="0"/>
        <v>114588</v>
      </c>
      <c r="E11" s="14">
        <f t="shared" si="0"/>
        <v>111282</v>
      </c>
      <c r="F11" s="14">
        <f t="shared" ref="F11" si="1">SUM(F12:F13)</f>
        <v>110721</v>
      </c>
      <c r="G11" s="24">
        <f t="shared" ref="G11" si="2">SUM(G12:G13)</f>
        <v>110085</v>
      </c>
    </row>
    <row r="12" spans="1:7" x14ac:dyDescent="0.25">
      <c r="B12" s="120" t="s">
        <v>45</v>
      </c>
      <c r="C12" s="15">
        <v>43386</v>
      </c>
      <c r="D12" s="15">
        <v>47918</v>
      </c>
      <c r="E12" s="15">
        <v>45334</v>
      </c>
      <c r="F12" s="15">
        <v>45264</v>
      </c>
      <c r="G12" s="25">
        <v>44821</v>
      </c>
    </row>
    <row r="13" spans="1:7" x14ac:dyDescent="0.25">
      <c r="B13" s="120" t="s">
        <v>46</v>
      </c>
      <c r="C13" s="15">
        <v>67458</v>
      </c>
      <c r="D13" s="15">
        <v>66670</v>
      </c>
      <c r="E13" s="15">
        <v>65948</v>
      </c>
      <c r="F13" s="15">
        <v>65457</v>
      </c>
      <c r="G13" s="25">
        <v>65264</v>
      </c>
    </row>
    <row r="14" spans="1:7" x14ac:dyDescent="0.25">
      <c r="B14" s="119" t="s">
        <v>47</v>
      </c>
      <c r="C14" s="14">
        <v>7593</v>
      </c>
      <c r="D14" s="14">
        <v>11845</v>
      </c>
      <c r="E14" s="14">
        <v>12688</v>
      </c>
      <c r="F14" s="14">
        <v>14121</v>
      </c>
      <c r="G14" s="24">
        <v>13704</v>
      </c>
    </row>
    <row r="15" spans="1:7" ht="16.5" thickBot="1" x14ac:dyDescent="0.3">
      <c r="B15" s="119" t="s">
        <v>48</v>
      </c>
      <c r="C15" s="14">
        <v>109552</v>
      </c>
      <c r="D15" s="14">
        <v>114481</v>
      </c>
      <c r="E15" s="14">
        <v>110139</v>
      </c>
      <c r="F15" s="14">
        <v>122102</v>
      </c>
      <c r="G15" s="24">
        <v>114440</v>
      </c>
    </row>
    <row r="16" spans="1:7" ht="16.5" thickBot="1" x14ac:dyDescent="0.3">
      <c r="B16" s="121" t="s">
        <v>49</v>
      </c>
      <c r="C16" s="19">
        <f>SUM(C5,C6,C9,C10,C11,C14,C15)</f>
        <v>1300749</v>
      </c>
      <c r="D16" s="19">
        <f t="shared" ref="D16:G16" si="3">SUM(D5,D6,D9,D10,D11,D14,D15)</f>
        <v>1336626</v>
      </c>
      <c r="E16" s="19">
        <f t="shared" si="3"/>
        <v>1436533</v>
      </c>
      <c r="F16" s="19">
        <f t="shared" si="3"/>
        <v>1368478</v>
      </c>
      <c r="G16" s="26">
        <f t="shared" si="3"/>
        <v>1332387</v>
      </c>
    </row>
    <row r="17" spans="2:10" s="4" customFormat="1" ht="9" customHeight="1" x14ac:dyDescent="0.25">
      <c r="B17" s="29"/>
      <c r="C17" s="59"/>
      <c r="D17" s="59"/>
      <c r="E17" s="59"/>
      <c r="F17" s="59"/>
      <c r="G17" s="59"/>
      <c r="H17" s="59"/>
      <c r="I17" s="59"/>
      <c r="J17" s="60"/>
    </row>
    <row r="18" spans="2:10" s="4" customFormat="1" ht="15" x14ac:dyDescent="0.25">
      <c r="B18" s="31"/>
      <c r="C18" s="61"/>
      <c r="D18" s="61"/>
      <c r="E18" s="61"/>
      <c r="G18" s="139" t="s">
        <v>63</v>
      </c>
      <c r="I18" s="61"/>
    </row>
    <row r="19" spans="2:10" x14ac:dyDescent="0.25">
      <c r="B19" s="11"/>
      <c r="C19" s="12"/>
      <c r="D19" s="12"/>
      <c r="E19" s="12"/>
      <c r="F19" s="12"/>
      <c r="G19" s="12"/>
    </row>
    <row r="21" spans="2:10" ht="16.5" thickBot="1" x14ac:dyDescent="0.3">
      <c r="B21" s="118" t="s">
        <v>50</v>
      </c>
      <c r="C21" s="18" t="s">
        <v>6</v>
      </c>
      <c r="D21" s="18" t="s">
        <v>3</v>
      </c>
      <c r="E21" s="18" t="s">
        <v>4</v>
      </c>
      <c r="F21" s="18" t="s">
        <v>19</v>
      </c>
      <c r="G21" s="23" t="s">
        <v>136</v>
      </c>
    </row>
    <row r="22" spans="2:10" x14ac:dyDescent="0.25">
      <c r="B22" s="119" t="s">
        <v>51</v>
      </c>
      <c r="C22" s="14">
        <v>211889</v>
      </c>
      <c r="D22" s="14">
        <v>207608</v>
      </c>
      <c r="E22" s="14">
        <v>174445</v>
      </c>
      <c r="F22" s="14">
        <v>175406</v>
      </c>
      <c r="G22" s="24">
        <v>168624</v>
      </c>
    </row>
    <row r="23" spans="2:10" x14ac:dyDescent="0.25">
      <c r="B23" s="119" t="s">
        <v>52</v>
      </c>
      <c r="C23" s="14">
        <v>3385</v>
      </c>
      <c r="D23" s="14">
        <v>13584</v>
      </c>
      <c r="E23" s="14">
        <v>15167</v>
      </c>
      <c r="F23" s="14">
        <v>9447</v>
      </c>
      <c r="G23" s="24">
        <v>1764</v>
      </c>
    </row>
    <row r="24" spans="2:10" x14ac:dyDescent="0.25">
      <c r="B24" s="119" t="s">
        <v>53</v>
      </c>
      <c r="C24" s="14">
        <f>SUM(C25:C27)</f>
        <v>725891</v>
      </c>
      <c r="D24" s="14">
        <f>SUM(D25:D27)</f>
        <v>725860</v>
      </c>
      <c r="E24" s="14">
        <f>SUM(E25:E27)</f>
        <v>716491</v>
      </c>
      <c r="F24" s="14">
        <f>SUM(F25:F27)</f>
        <v>738158</v>
      </c>
      <c r="G24" s="24">
        <f>SUM(G25:G27)</f>
        <v>738152</v>
      </c>
    </row>
    <row r="25" spans="2:10" x14ac:dyDescent="0.25">
      <c r="B25" s="120" t="s">
        <v>54</v>
      </c>
      <c r="C25" s="15">
        <v>428118</v>
      </c>
      <c r="D25" s="15">
        <v>443115</v>
      </c>
      <c r="E25" s="15">
        <v>446423</v>
      </c>
      <c r="F25" s="15">
        <v>449740</v>
      </c>
      <c r="G25" s="25">
        <v>456856</v>
      </c>
    </row>
    <row r="26" spans="2:10" x14ac:dyDescent="0.25">
      <c r="B26" s="120" t="s">
        <v>55</v>
      </c>
      <c r="C26" s="15">
        <v>0</v>
      </c>
      <c r="D26" s="15">
        <v>6115</v>
      </c>
      <c r="E26" s="15">
        <v>4622</v>
      </c>
      <c r="F26" s="15">
        <v>3280</v>
      </c>
      <c r="G26" s="25">
        <v>3280</v>
      </c>
    </row>
    <row r="27" spans="2:10" x14ac:dyDescent="0.25">
      <c r="B27" s="120" t="s">
        <v>56</v>
      </c>
      <c r="C27" s="15">
        <v>297773</v>
      </c>
      <c r="D27" s="15">
        <v>276630</v>
      </c>
      <c r="E27" s="15">
        <v>265446</v>
      </c>
      <c r="F27" s="15">
        <v>285138</v>
      </c>
      <c r="G27" s="25">
        <v>278016</v>
      </c>
    </row>
    <row r="28" spans="2:10" x14ac:dyDescent="0.25">
      <c r="B28" s="119" t="s">
        <v>57</v>
      </c>
      <c r="C28" s="14">
        <v>24652</v>
      </c>
      <c r="D28" s="14">
        <v>22816</v>
      </c>
      <c r="E28" s="14">
        <v>16849</v>
      </c>
      <c r="F28" s="14">
        <v>22133</v>
      </c>
      <c r="G28" s="24">
        <v>20904</v>
      </c>
    </row>
    <row r="29" spans="2:10" ht="16.5" thickBot="1" x14ac:dyDescent="0.3">
      <c r="B29" s="119" t="s">
        <v>58</v>
      </c>
      <c r="C29" s="14">
        <v>46728</v>
      </c>
      <c r="D29" s="14">
        <v>41698</v>
      </c>
      <c r="E29" s="14">
        <v>46222</v>
      </c>
      <c r="F29" s="14">
        <v>45059</v>
      </c>
      <c r="G29" s="24">
        <v>43303</v>
      </c>
    </row>
    <row r="30" spans="2:10" ht="16.5" thickBot="1" x14ac:dyDescent="0.3">
      <c r="B30" s="121" t="s">
        <v>59</v>
      </c>
      <c r="C30" s="20">
        <f t="shared" ref="C30:D30" si="4">SUM(C29,C28,C24,C23,C22)</f>
        <v>1012545</v>
      </c>
      <c r="D30" s="20">
        <f t="shared" si="4"/>
        <v>1011566</v>
      </c>
      <c r="E30" s="20">
        <f>SUM(E29,E28,E24,E23,E22)</f>
        <v>969174</v>
      </c>
      <c r="F30" s="20">
        <f t="shared" ref="F30:G30" si="5">SUM(F29,F28,F24,F23,F22)</f>
        <v>990203</v>
      </c>
      <c r="G30" s="27">
        <f t="shared" si="5"/>
        <v>972747</v>
      </c>
    </row>
    <row r="31" spans="2:10" x14ac:dyDescent="0.25">
      <c r="B31" s="122" t="s">
        <v>60</v>
      </c>
      <c r="C31" s="15">
        <v>273634</v>
      </c>
      <c r="D31" s="15">
        <v>287881</v>
      </c>
      <c r="E31" s="15">
        <v>422727</v>
      </c>
      <c r="F31" s="15">
        <v>334909</v>
      </c>
      <c r="G31" s="25">
        <v>337638</v>
      </c>
    </row>
    <row r="32" spans="2:10" ht="16.5" thickBot="1" x14ac:dyDescent="0.3">
      <c r="B32" s="122" t="s">
        <v>61</v>
      </c>
      <c r="C32" s="15">
        <v>14570</v>
      </c>
      <c r="D32" s="15">
        <v>37179</v>
      </c>
      <c r="E32" s="15">
        <v>44632</v>
      </c>
      <c r="F32" s="15">
        <v>43366</v>
      </c>
      <c r="G32" s="25">
        <v>22002</v>
      </c>
    </row>
    <row r="33" spans="2:10" ht="16.5" thickBot="1" x14ac:dyDescent="0.3">
      <c r="B33" s="121" t="s">
        <v>62</v>
      </c>
      <c r="C33" s="20">
        <f t="shared" ref="C33:D33" si="6">SUM(C31:C32)</f>
        <v>288204</v>
      </c>
      <c r="D33" s="20">
        <f t="shared" si="6"/>
        <v>325060</v>
      </c>
      <c r="E33" s="20">
        <f>SUM(E31:E32)</f>
        <v>467359</v>
      </c>
      <c r="F33" s="20">
        <f t="shared" ref="F33:G33" si="7">SUM(F31:F32)</f>
        <v>378275</v>
      </c>
      <c r="G33" s="27">
        <f t="shared" si="7"/>
        <v>359640</v>
      </c>
    </row>
    <row r="34" spans="2:10" ht="16.5" thickBot="1" x14ac:dyDescent="0.3">
      <c r="B34" s="121" t="s">
        <v>135</v>
      </c>
      <c r="C34" s="20">
        <f>C33+C30</f>
        <v>1300749</v>
      </c>
      <c r="D34" s="20">
        <f>D33+D30</f>
        <v>1336626</v>
      </c>
      <c r="E34" s="20">
        <f>E33+E30</f>
        <v>1436533</v>
      </c>
      <c r="F34" s="20">
        <f>F33+F30</f>
        <v>1368478</v>
      </c>
      <c r="G34" s="27">
        <f>G33+G30</f>
        <v>1332387</v>
      </c>
    </row>
    <row r="35" spans="2:10" s="4" customFormat="1" ht="9" customHeight="1" x14ac:dyDescent="0.25">
      <c r="B35" s="29"/>
      <c r="C35" s="59"/>
      <c r="D35" s="59"/>
      <c r="E35" s="59"/>
      <c r="F35" s="59"/>
      <c r="G35" s="59"/>
      <c r="H35" s="59"/>
      <c r="I35" s="59"/>
      <c r="J35" s="60"/>
    </row>
    <row r="36" spans="2:10" s="4" customFormat="1" ht="15" x14ac:dyDescent="0.25">
      <c r="B36" s="31"/>
      <c r="C36" s="61"/>
      <c r="D36" s="61"/>
      <c r="E36" s="61"/>
      <c r="G36" s="139" t="s">
        <v>63</v>
      </c>
      <c r="I36" s="61"/>
    </row>
    <row r="37" spans="2:10" x14ac:dyDescent="0.25">
      <c r="B37" s="11"/>
      <c r="C37" s="12"/>
      <c r="D37" s="12"/>
      <c r="E37" s="12"/>
      <c r="F37" s="12"/>
      <c r="G37" s="12"/>
    </row>
    <row r="38" spans="2:10" x14ac:dyDescent="0.25">
      <c r="C38" s="13" t="str">
        <f>IF(ROUND(C34,5)=ROUND(C16,5),"OK","NOT OK")</f>
        <v>OK</v>
      </c>
      <c r="D38" s="13" t="str">
        <f t="shared" ref="D38:G38" si="8">IF(ROUND(D34,5)=ROUND(D16,5),"OK","NOT OK")</f>
        <v>OK</v>
      </c>
      <c r="E38" s="13" t="str">
        <f t="shared" si="8"/>
        <v>OK</v>
      </c>
      <c r="F38" s="13" t="str">
        <f t="shared" si="8"/>
        <v>OK</v>
      </c>
      <c r="G38" s="13" t="str">
        <f t="shared" si="8"/>
        <v>OK</v>
      </c>
    </row>
  </sheetData>
  <conditionalFormatting sqref="F38">
    <cfRule type="cellIs" dxfId="13" priority="27" operator="equal">
      <formula>"NOT OK"</formula>
    </cfRule>
    <cfRule type="cellIs" dxfId="12" priority="28" operator="equal">
      <formula>"OK"</formula>
    </cfRule>
  </conditionalFormatting>
  <conditionalFormatting sqref="C38">
    <cfRule type="cellIs" dxfId="11" priority="21" operator="equal">
      <formula>"NOT OK"</formula>
    </cfRule>
    <cfRule type="cellIs" dxfId="10" priority="22" operator="equal">
      <formula>"OK"</formula>
    </cfRule>
  </conditionalFormatting>
  <conditionalFormatting sqref="D38">
    <cfRule type="cellIs" dxfId="9" priority="13" operator="equal">
      <formula>"NOT OK"</formula>
    </cfRule>
    <cfRule type="cellIs" dxfId="8" priority="14" operator="equal">
      <formula>"OK"</formula>
    </cfRule>
  </conditionalFormatting>
  <conditionalFormatting sqref="E38">
    <cfRule type="cellIs" dxfId="7" priority="11" operator="equal">
      <formula>"NOT OK"</formula>
    </cfRule>
    <cfRule type="cellIs" dxfId="6" priority="12" operator="equal">
      <formula>"OK"</formula>
    </cfRule>
  </conditionalFormatting>
  <conditionalFormatting sqref="G38">
    <cfRule type="cellIs" dxfId="5" priority="3" operator="equal">
      <formula>"NOT OK"</formula>
    </cfRule>
    <cfRule type="cellIs" dxfId="4" priority="4" operator="equal">
      <formula>"OK"</formula>
    </cfRule>
  </conditionalFormatting>
  <conditionalFormatting sqref="F38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G38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Financial supplement&gt;&gt;&gt;'!A1" display="INDEX" xr:uid="{2101A27B-2B26-42D8-BBEE-F520D85A6A8A}"/>
  </hyperlinks>
  <pageMargins left="0.7" right="0.7" top="0.75" bottom="0.75" header="0.3" footer="0.3"/>
  <pageSetup paperSize="9" scale="94" orientation="landscape" r:id="rId1"/>
  <ignoredErrors>
    <ignoredError sqref="C11:E11 C24:E24 C6:E6 C7:D7 C8:D8 C9:D9 C10:D10 F19:F20 F17 F6:F16 F21:F24 G6:G11 G24:G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U29"/>
  <sheetViews>
    <sheetView showGridLines="0" zoomScaleNormal="100" workbookViewId="0">
      <selection activeCell="A2" sqref="A2"/>
    </sheetView>
  </sheetViews>
  <sheetFormatPr baseColWidth="10" defaultColWidth="11.42578125" defaultRowHeight="15" outlineLevelCol="1" x14ac:dyDescent="0.25"/>
  <cols>
    <col min="1" max="1" width="10.7109375" style="1" customWidth="1"/>
    <col min="2" max="2" width="52.42578125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9" width="13.28515625" style="1" customWidth="1"/>
    <col min="10" max="11" width="13.28515625" style="1" hidden="1" customWidth="1" outlineLevel="1"/>
    <col min="12" max="12" width="13.28515625" style="1" customWidth="1" collapsed="1"/>
    <col min="13" max="13" width="13.28515625" style="1" customWidth="1"/>
    <col min="14" max="14" width="3" style="1" customWidth="1"/>
    <col min="15" max="16384" width="11.42578125" style="1"/>
  </cols>
  <sheetData>
    <row r="1" spans="1:21" ht="16.5" customHeight="1" x14ac:dyDescent="0.25"/>
    <row r="2" spans="1:21" ht="18.75" customHeight="1" thickBot="1" x14ac:dyDescent="0.3">
      <c r="A2" s="90" t="s">
        <v>20</v>
      </c>
      <c r="B2" s="117" t="s">
        <v>35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O2" s="117" t="s">
        <v>34</v>
      </c>
      <c r="P2" s="21"/>
      <c r="Q2" s="21"/>
      <c r="R2" s="21"/>
      <c r="S2" s="21"/>
      <c r="T2" s="21"/>
      <c r="U2" s="21"/>
    </row>
    <row r="3" spans="1:21" ht="15.75" x14ac:dyDescent="0.25">
      <c r="A3" s="28"/>
      <c r="B3" s="29"/>
      <c r="C3" s="30"/>
      <c r="D3" s="30"/>
      <c r="E3" s="29"/>
      <c r="F3" s="30"/>
      <c r="G3" s="30"/>
      <c r="H3" s="30"/>
      <c r="I3" s="30"/>
      <c r="J3" s="30"/>
      <c r="K3" s="30"/>
      <c r="L3" s="30"/>
      <c r="M3" s="30"/>
    </row>
    <row r="4" spans="1:21" ht="16.5" thickBot="1" x14ac:dyDescent="0.3">
      <c r="A4" s="28"/>
      <c r="B4" s="35"/>
      <c r="C4" s="18" t="s">
        <v>6</v>
      </c>
      <c r="D4" s="18" t="s">
        <v>16</v>
      </c>
      <c r="E4" s="18" t="s">
        <v>3</v>
      </c>
      <c r="F4" s="18" t="s">
        <v>17</v>
      </c>
      <c r="G4" s="18" t="s">
        <v>14</v>
      </c>
      <c r="H4" s="18" t="s">
        <v>4</v>
      </c>
      <c r="I4" s="18" t="s">
        <v>132</v>
      </c>
      <c r="J4" s="18" t="s">
        <v>15</v>
      </c>
      <c r="K4" s="18" t="s">
        <v>13</v>
      </c>
      <c r="L4" s="18" t="s">
        <v>19</v>
      </c>
      <c r="M4" s="23" t="s">
        <v>136</v>
      </c>
      <c r="O4" s="18" t="s">
        <v>64</v>
      </c>
      <c r="P4" s="18" t="s">
        <v>65</v>
      </c>
      <c r="Q4" s="18" t="s">
        <v>133</v>
      </c>
      <c r="R4" s="18" t="s">
        <v>134</v>
      </c>
      <c r="S4" s="18" t="s">
        <v>66</v>
      </c>
      <c r="T4" s="18" t="s">
        <v>67</v>
      </c>
      <c r="U4" s="23" t="s">
        <v>137</v>
      </c>
    </row>
    <row r="5" spans="1:21" ht="15.75" x14ac:dyDescent="0.25">
      <c r="A5" s="28"/>
      <c r="B5" s="124" t="s">
        <v>68</v>
      </c>
      <c r="C5" s="16">
        <v>853119</v>
      </c>
      <c r="D5" s="16">
        <v>671237.88711999997</v>
      </c>
      <c r="E5" s="16">
        <v>891295</v>
      </c>
      <c r="F5" s="16">
        <v>451910</v>
      </c>
      <c r="G5" s="16">
        <v>675056.76400999993</v>
      </c>
      <c r="H5" s="16">
        <v>898614</v>
      </c>
      <c r="I5" s="16">
        <v>224068</v>
      </c>
      <c r="J5" s="16">
        <v>456465</v>
      </c>
      <c r="K5" s="16">
        <v>682637.5491399999</v>
      </c>
      <c r="L5" s="16">
        <v>907189</v>
      </c>
      <c r="M5" s="33">
        <v>232005</v>
      </c>
      <c r="O5" s="16">
        <f t="shared" ref="O5:O18" si="0">G5-F5</f>
        <v>223146.76400999993</v>
      </c>
      <c r="P5" s="16">
        <f t="shared" ref="P5:P18" si="1">H5-G5</f>
        <v>223557.23599000007</v>
      </c>
      <c r="Q5" s="16">
        <f>I5</f>
        <v>224068</v>
      </c>
      <c r="R5" s="16">
        <f>J5-I5</f>
        <v>232397</v>
      </c>
      <c r="S5" s="16">
        <f>K5-J5</f>
        <v>226172.5491399999</v>
      </c>
      <c r="T5" s="16">
        <f t="shared" ref="T5:T17" si="2">L5-K5</f>
        <v>224551.4508600001</v>
      </c>
      <c r="U5" s="33">
        <f t="shared" ref="U5:U17" si="3">M5</f>
        <v>232005</v>
      </c>
    </row>
    <row r="6" spans="1:21" ht="15.75" x14ac:dyDescent="0.25">
      <c r="A6" s="28"/>
      <c r="B6" s="124" t="s">
        <v>69</v>
      </c>
      <c r="C6" s="16">
        <v>816289</v>
      </c>
      <c r="D6" s="16">
        <v>641351.88182999962</v>
      </c>
      <c r="E6" s="16">
        <v>854762</v>
      </c>
      <c r="F6" s="16">
        <v>434400</v>
      </c>
      <c r="G6" s="16">
        <v>654226.95956999995</v>
      </c>
      <c r="H6" s="16">
        <v>878177</v>
      </c>
      <c r="I6" s="16">
        <v>216386</v>
      </c>
      <c r="J6" s="16">
        <v>435993</v>
      </c>
      <c r="K6" s="16">
        <v>658532.16795000026</v>
      </c>
      <c r="L6" s="16">
        <v>882728</v>
      </c>
      <c r="M6" s="33">
        <v>218616</v>
      </c>
      <c r="O6" s="16">
        <f t="shared" si="0"/>
        <v>219826.95956999995</v>
      </c>
      <c r="P6" s="16">
        <f t="shared" si="1"/>
        <v>223950.04043000005</v>
      </c>
      <c r="Q6" s="16">
        <f t="shared" ref="Q6:Q18" si="4">I6</f>
        <v>216386</v>
      </c>
      <c r="R6" s="16">
        <f t="shared" ref="R6:R18" si="5">J6-I6</f>
        <v>219607</v>
      </c>
      <c r="S6" s="16">
        <f t="shared" ref="S6:S18" si="6">K6-J6</f>
        <v>222539.16795000026</v>
      </c>
      <c r="T6" s="16">
        <f t="shared" si="2"/>
        <v>224195.83204999974</v>
      </c>
      <c r="U6" s="33">
        <f t="shared" si="3"/>
        <v>218616</v>
      </c>
    </row>
    <row r="7" spans="1:21" ht="15.75" x14ac:dyDescent="0.25">
      <c r="A7" s="28"/>
      <c r="B7" s="125" t="s">
        <v>70</v>
      </c>
      <c r="C7" s="32">
        <v>-528029</v>
      </c>
      <c r="D7" s="32">
        <v>-434879.50449328037</v>
      </c>
      <c r="E7" s="32">
        <v>-580987</v>
      </c>
      <c r="F7" s="32">
        <v>-279624</v>
      </c>
      <c r="G7" s="32">
        <v>-404121.66815101047</v>
      </c>
      <c r="H7" s="32">
        <v>-540064</v>
      </c>
      <c r="I7" s="32">
        <v>-142364</v>
      </c>
      <c r="J7" s="32">
        <v>-284885</v>
      </c>
      <c r="K7" s="32">
        <v>-434205.32618606143</v>
      </c>
      <c r="L7" s="32">
        <v>-597820</v>
      </c>
      <c r="M7" s="34">
        <v>-151164</v>
      </c>
      <c r="O7" s="32">
        <f t="shared" si="0"/>
        <v>-124497.66815101047</v>
      </c>
      <c r="P7" s="32">
        <f t="shared" si="1"/>
        <v>-135942.33184898953</v>
      </c>
      <c r="Q7" s="32">
        <f t="shared" si="4"/>
        <v>-142364</v>
      </c>
      <c r="R7" s="32">
        <f t="shared" si="5"/>
        <v>-142521</v>
      </c>
      <c r="S7" s="32">
        <f t="shared" si="6"/>
        <v>-149320.32618606143</v>
      </c>
      <c r="T7" s="32">
        <f t="shared" si="2"/>
        <v>-163614.67381393857</v>
      </c>
      <c r="U7" s="34">
        <f t="shared" si="3"/>
        <v>-151164</v>
      </c>
    </row>
    <row r="8" spans="1:21" ht="15.75" x14ac:dyDescent="0.25">
      <c r="A8" s="28"/>
      <c r="B8" s="125" t="s">
        <v>71</v>
      </c>
      <c r="C8" s="32">
        <v>-196176</v>
      </c>
      <c r="D8" s="32">
        <v>-149071.66064898294</v>
      </c>
      <c r="E8" s="32">
        <v>-199919</v>
      </c>
      <c r="F8" s="32">
        <v>-101365</v>
      </c>
      <c r="G8" s="32">
        <v>-154592.63530112992</v>
      </c>
      <c r="H8" s="32">
        <v>-209603</v>
      </c>
      <c r="I8" s="32">
        <v>-46564</v>
      </c>
      <c r="J8" s="32">
        <v>-97485</v>
      </c>
      <c r="K8" s="32">
        <v>-149806.46006821495</v>
      </c>
      <c r="L8" s="32">
        <v>-203458</v>
      </c>
      <c r="M8" s="34">
        <v>-45654</v>
      </c>
      <c r="O8" s="32">
        <f t="shared" si="0"/>
        <v>-53227.635301129922</v>
      </c>
      <c r="P8" s="32">
        <f t="shared" si="1"/>
        <v>-55010.364698870078</v>
      </c>
      <c r="Q8" s="32">
        <f t="shared" si="4"/>
        <v>-46564</v>
      </c>
      <c r="R8" s="32">
        <f t="shared" si="5"/>
        <v>-50921</v>
      </c>
      <c r="S8" s="32">
        <f t="shared" si="6"/>
        <v>-52321.460068214947</v>
      </c>
      <c r="T8" s="32">
        <f t="shared" si="2"/>
        <v>-53651.539931785053</v>
      </c>
      <c r="U8" s="34">
        <f t="shared" si="3"/>
        <v>-45654</v>
      </c>
    </row>
    <row r="9" spans="1:21" ht="15.75" x14ac:dyDescent="0.25">
      <c r="A9" s="28"/>
      <c r="B9" s="125" t="s">
        <v>72</v>
      </c>
      <c r="C9" s="32">
        <v>25728</v>
      </c>
      <c r="D9" s="32">
        <v>23267.081610000001</v>
      </c>
      <c r="E9" s="32">
        <v>29794</v>
      </c>
      <c r="F9" s="32">
        <v>8623</v>
      </c>
      <c r="G9" s="32">
        <v>14051.203730000003</v>
      </c>
      <c r="H9" s="32">
        <v>17429</v>
      </c>
      <c r="I9" s="32">
        <v>4086</v>
      </c>
      <c r="J9" s="32">
        <v>9516</v>
      </c>
      <c r="K9" s="32">
        <v>15089.09052</v>
      </c>
      <c r="L9" s="32">
        <v>22185</v>
      </c>
      <c r="M9" s="34">
        <v>2310</v>
      </c>
      <c r="O9" s="32">
        <f t="shared" si="0"/>
        <v>5428.2037300000029</v>
      </c>
      <c r="P9" s="32">
        <f t="shared" si="1"/>
        <v>3377.7962699999971</v>
      </c>
      <c r="Q9" s="32">
        <f t="shared" si="4"/>
        <v>4086</v>
      </c>
      <c r="R9" s="32">
        <f t="shared" si="5"/>
        <v>5430</v>
      </c>
      <c r="S9" s="32">
        <f t="shared" si="6"/>
        <v>5573.0905199999997</v>
      </c>
      <c r="T9" s="32">
        <f t="shared" si="2"/>
        <v>7095.9094800000003</v>
      </c>
      <c r="U9" s="34">
        <f t="shared" si="3"/>
        <v>2310</v>
      </c>
    </row>
    <row r="10" spans="1:21" ht="15.75" x14ac:dyDescent="0.25">
      <c r="A10" s="28"/>
      <c r="B10" s="124" t="s">
        <v>73</v>
      </c>
      <c r="C10" s="16">
        <f t="shared" ref="C10:G10" si="7">SUM(C6:C9)</f>
        <v>117812</v>
      </c>
      <c r="D10" s="16">
        <f>SUM(D6:D9)</f>
        <v>80667.798297736299</v>
      </c>
      <c r="E10" s="16">
        <f t="shared" si="7"/>
        <v>103650</v>
      </c>
      <c r="F10" s="16">
        <f t="shared" si="7"/>
        <v>62034</v>
      </c>
      <c r="G10" s="16">
        <f t="shared" si="7"/>
        <v>109563.85984785957</v>
      </c>
      <c r="H10" s="16">
        <f t="shared" ref="H10:M10" si="8">SUM(H6:H9)</f>
        <v>145939</v>
      </c>
      <c r="I10" s="16">
        <f t="shared" si="8"/>
        <v>31544</v>
      </c>
      <c r="J10" s="16">
        <f t="shared" si="8"/>
        <v>63139</v>
      </c>
      <c r="K10" s="16">
        <f t="shared" si="8"/>
        <v>89609.472215723887</v>
      </c>
      <c r="L10" s="16">
        <f t="shared" si="8"/>
        <v>103635</v>
      </c>
      <c r="M10" s="33">
        <f t="shared" si="8"/>
        <v>24108</v>
      </c>
      <c r="O10" s="16">
        <f t="shared" si="0"/>
        <v>47529.859847859567</v>
      </c>
      <c r="P10" s="16">
        <f t="shared" si="1"/>
        <v>36375.140152140433</v>
      </c>
      <c r="Q10" s="16">
        <f t="shared" si="4"/>
        <v>31544</v>
      </c>
      <c r="R10" s="16">
        <f t="shared" si="5"/>
        <v>31595</v>
      </c>
      <c r="S10" s="16">
        <f t="shared" si="6"/>
        <v>26470.472215723887</v>
      </c>
      <c r="T10" s="16">
        <f t="shared" si="2"/>
        <v>14025.527784276113</v>
      </c>
      <c r="U10" s="33">
        <f t="shared" si="3"/>
        <v>24108</v>
      </c>
    </row>
    <row r="11" spans="1:21" ht="15.75" x14ac:dyDescent="0.25">
      <c r="A11" s="28"/>
      <c r="B11" s="125" t="s">
        <v>74</v>
      </c>
      <c r="C11" s="32">
        <v>52021</v>
      </c>
      <c r="D11" s="32">
        <v>54355.569459999992</v>
      </c>
      <c r="E11" s="32">
        <v>70687</v>
      </c>
      <c r="F11" s="32">
        <v>34974</v>
      </c>
      <c r="G11" s="32">
        <v>50657.768469999995</v>
      </c>
      <c r="H11" s="32">
        <v>76613</v>
      </c>
      <c r="I11" s="32">
        <v>13376</v>
      </c>
      <c r="J11" s="32">
        <v>22769</v>
      </c>
      <c r="K11" s="32">
        <v>39281.246479999987</v>
      </c>
      <c r="L11" s="32">
        <v>57904</v>
      </c>
      <c r="M11" s="34">
        <v>16337</v>
      </c>
      <c r="O11" s="32">
        <f t="shared" si="0"/>
        <v>15683.768469999995</v>
      </c>
      <c r="P11" s="32">
        <f t="shared" si="1"/>
        <v>25955.231530000005</v>
      </c>
      <c r="Q11" s="32">
        <f t="shared" si="4"/>
        <v>13376</v>
      </c>
      <c r="R11" s="32">
        <f t="shared" si="5"/>
        <v>9393</v>
      </c>
      <c r="S11" s="32">
        <f t="shared" si="6"/>
        <v>16512.246479999987</v>
      </c>
      <c r="T11" s="32">
        <f t="shared" si="2"/>
        <v>18622.753520000013</v>
      </c>
      <c r="U11" s="34">
        <f t="shared" si="3"/>
        <v>16337</v>
      </c>
    </row>
    <row r="12" spans="1:21" ht="15.75" x14ac:dyDescent="0.25">
      <c r="A12" s="28"/>
      <c r="B12" s="125" t="s">
        <v>75</v>
      </c>
      <c r="C12" s="32">
        <v>-18547</v>
      </c>
      <c r="D12" s="32">
        <v>-32709.224891641526</v>
      </c>
      <c r="E12" s="32">
        <v>-39117</v>
      </c>
      <c r="F12" s="32">
        <v>-21932</v>
      </c>
      <c r="G12" s="32">
        <v>-32428.553819042852</v>
      </c>
      <c r="H12" s="32">
        <v>-47360</v>
      </c>
      <c r="I12" s="32">
        <v>-6437</v>
      </c>
      <c r="J12" s="32">
        <v>-9974</v>
      </c>
      <c r="K12" s="32">
        <v>-17173.93199369132</v>
      </c>
      <c r="L12" s="32">
        <v>-23243</v>
      </c>
      <c r="M12" s="34">
        <v>-9589</v>
      </c>
      <c r="O12" s="32">
        <f t="shared" si="0"/>
        <v>-10496.553819042852</v>
      </c>
      <c r="P12" s="32">
        <f t="shared" si="1"/>
        <v>-14931.446180957148</v>
      </c>
      <c r="Q12" s="32">
        <f t="shared" si="4"/>
        <v>-6437</v>
      </c>
      <c r="R12" s="32">
        <f t="shared" si="5"/>
        <v>-3537</v>
      </c>
      <c r="S12" s="32">
        <f t="shared" si="6"/>
        <v>-7199.9319936913198</v>
      </c>
      <c r="T12" s="32">
        <f t="shared" si="2"/>
        <v>-6069.0680063086802</v>
      </c>
      <c r="U12" s="34">
        <f t="shared" si="3"/>
        <v>-9589</v>
      </c>
    </row>
    <row r="13" spans="1:21" ht="15.75" x14ac:dyDescent="0.25">
      <c r="A13" s="28"/>
      <c r="B13" s="124" t="s">
        <v>76</v>
      </c>
      <c r="C13" s="16">
        <f>SUM(C11:C12)</f>
        <v>33474</v>
      </c>
      <c r="D13" s="16">
        <f>SUM(D11:D12)</f>
        <v>21646.344568358465</v>
      </c>
      <c r="E13" s="16">
        <f t="shared" ref="E13:G13" si="9">SUM(E11:E12)</f>
        <v>31570</v>
      </c>
      <c r="F13" s="16">
        <f t="shared" ref="F13" si="10">SUM(F11:F12)</f>
        <v>13042</v>
      </c>
      <c r="G13" s="16">
        <f t="shared" si="9"/>
        <v>18229.214650957143</v>
      </c>
      <c r="H13" s="16">
        <f t="shared" ref="H13:M13" si="11">SUM(H11:H12)</f>
        <v>29253</v>
      </c>
      <c r="I13" s="16">
        <f t="shared" si="11"/>
        <v>6939</v>
      </c>
      <c r="J13" s="16">
        <f t="shared" si="11"/>
        <v>12795</v>
      </c>
      <c r="K13" s="16">
        <f t="shared" si="11"/>
        <v>22107.314486308667</v>
      </c>
      <c r="L13" s="16">
        <f t="shared" si="11"/>
        <v>34661</v>
      </c>
      <c r="M13" s="33">
        <f t="shared" si="11"/>
        <v>6748</v>
      </c>
      <c r="O13" s="16">
        <f t="shared" si="0"/>
        <v>5187.214650957143</v>
      </c>
      <c r="P13" s="16">
        <f t="shared" si="1"/>
        <v>11023.785349042857</v>
      </c>
      <c r="Q13" s="16">
        <f t="shared" si="4"/>
        <v>6939</v>
      </c>
      <c r="R13" s="16">
        <f t="shared" si="5"/>
        <v>5856</v>
      </c>
      <c r="S13" s="16">
        <f t="shared" si="6"/>
        <v>9312.3144863086673</v>
      </c>
      <c r="T13" s="16">
        <f t="shared" si="2"/>
        <v>12553.685513691333</v>
      </c>
      <c r="U13" s="33">
        <f t="shared" si="3"/>
        <v>6748</v>
      </c>
    </row>
    <row r="14" spans="1:21" ht="15.75" x14ac:dyDescent="0.25">
      <c r="A14" s="28"/>
      <c r="B14" s="124" t="s">
        <v>77</v>
      </c>
      <c r="C14" s="16">
        <f>SUM(C13,C10)</f>
        <v>151286</v>
      </c>
      <c r="D14" s="16">
        <f>SUM(D13,D10)</f>
        <v>102314.14286609477</v>
      </c>
      <c r="E14" s="16">
        <f t="shared" ref="E14:G14" si="12">SUM(E13,E10)</f>
        <v>135220</v>
      </c>
      <c r="F14" s="16">
        <f t="shared" ref="F14" si="13">SUM(F13,F10)</f>
        <v>75076</v>
      </c>
      <c r="G14" s="16">
        <f t="shared" si="12"/>
        <v>127793.07449881671</v>
      </c>
      <c r="H14" s="16">
        <f t="shared" ref="H14:M14" si="14">SUM(H13,H10)</f>
        <v>175192</v>
      </c>
      <c r="I14" s="16">
        <f t="shared" si="14"/>
        <v>38483</v>
      </c>
      <c r="J14" s="16">
        <f t="shared" si="14"/>
        <v>75934</v>
      </c>
      <c r="K14" s="16">
        <f t="shared" si="14"/>
        <v>111716.78670203255</v>
      </c>
      <c r="L14" s="16">
        <f t="shared" si="14"/>
        <v>138296</v>
      </c>
      <c r="M14" s="33">
        <f t="shared" si="14"/>
        <v>30856</v>
      </c>
      <c r="O14" s="16">
        <f t="shared" si="0"/>
        <v>52717.074498816713</v>
      </c>
      <c r="P14" s="16">
        <f t="shared" si="1"/>
        <v>47398.925501183287</v>
      </c>
      <c r="Q14" s="16">
        <f t="shared" si="4"/>
        <v>38483</v>
      </c>
      <c r="R14" s="16">
        <f t="shared" si="5"/>
        <v>37451</v>
      </c>
      <c r="S14" s="16">
        <f t="shared" si="6"/>
        <v>35782.78670203255</v>
      </c>
      <c r="T14" s="16">
        <f t="shared" si="2"/>
        <v>26579.21329796745</v>
      </c>
      <c r="U14" s="33">
        <f t="shared" si="3"/>
        <v>30856</v>
      </c>
    </row>
    <row r="15" spans="1:21" ht="15.75" x14ac:dyDescent="0.25">
      <c r="A15" s="28"/>
      <c r="B15" s="125" t="s">
        <v>78</v>
      </c>
      <c r="C15" s="32">
        <v>4677</v>
      </c>
      <c r="D15" s="32">
        <v>5809.7359739047224</v>
      </c>
      <c r="E15" s="32">
        <v>7617</v>
      </c>
      <c r="F15" s="32">
        <v>3444</v>
      </c>
      <c r="G15" s="32">
        <v>5116.6454408655263</v>
      </c>
      <c r="H15" s="32">
        <v>4432</v>
      </c>
      <c r="I15" s="32">
        <v>944</v>
      </c>
      <c r="J15" s="32">
        <v>1684</v>
      </c>
      <c r="K15" s="32">
        <v>3360.7093052500841</v>
      </c>
      <c r="L15" s="32">
        <v>6884</v>
      </c>
      <c r="M15" s="34">
        <v>1429</v>
      </c>
      <c r="O15" s="32">
        <f t="shared" si="0"/>
        <v>1672.6454408655263</v>
      </c>
      <c r="P15" s="32">
        <f t="shared" si="1"/>
        <v>-684.64544086552633</v>
      </c>
      <c r="Q15" s="32">
        <f t="shared" si="4"/>
        <v>944</v>
      </c>
      <c r="R15" s="32">
        <f t="shared" si="5"/>
        <v>740</v>
      </c>
      <c r="S15" s="32">
        <f t="shared" si="6"/>
        <v>1676.7093052500841</v>
      </c>
      <c r="T15" s="32">
        <f t="shared" si="2"/>
        <v>3523.2906947499159</v>
      </c>
      <c r="U15" s="34">
        <f t="shared" si="3"/>
        <v>1429</v>
      </c>
    </row>
    <row r="16" spans="1:21" ht="15.75" x14ac:dyDescent="0.25">
      <c r="A16" s="28"/>
      <c r="B16" s="124" t="s">
        <v>79</v>
      </c>
      <c r="C16" s="16">
        <f>SUM(C14:C15)</f>
        <v>155963</v>
      </c>
      <c r="D16" s="16">
        <f>SUM(D14:D15)</f>
        <v>108123.8788399995</v>
      </c>
      <c r="E16" s="16">
        <f t="shared" ref="E16:G16" si="15">SUM(E14:E15)</f>
        <v>142837</v>
      </c>
      <c r="F16" s="16">
        <f t="shared" ref="F16" si="16">SUM(F14:F15)</f>
        <v>78520</v>
      </c>
      <c r="G16" s="16">
        <f t="shared" si="15"/>
        <v>132909.71993968223</v>
      </c>
      <c r="H16" s="16">
        <f t="shared" ref="H16:M16" si="17">SUM(H14:H15)</f>
        <v>179624</v>
      </c>
      <c r="I16" s="16">
        <f t="shared" si="17"/>
        <v>39427</v>
      </c>
      <c r="J16" s="16">
        <f t="shared" si="17"/>
        <v>77618</v>
      </c>
      <c r="K16" s="16">
        <f t="shared" si="17"/>
        <v>115077.49600728264</v>
      </c>
      <c r="L16" s="16">
        <f t="shared" si="17"/>
        <v>145180</v>
      </c>
      <c r="M16" s="33">
        <f t="shared" si="17"/>
        <v>32285</v>
      </c>
      <c r="O16" s="16">
        <f t="shared" si="0"/>
        <v>54389.719939682225</v>
      </c>
      <c r="P16" s="16">
        <f t="shared" si="1"/>
        <v>46714.280060317775</v>
      </c>
      <c r="Q16" s="16">
        <f t="shared" si="4"/>
        <v>39427</v>
      </c>
      <c r="R16" s="16">
        <f t="shared" si="5"/>
        <v>38191</v>
      </c>
      <c r="S16" s="16">
        <f t="shared" si="6"/>
        <v>37459.496007282636</v>
      </c>
      <c r="T16" s="16">
        <f t="shared" si="2"/>
        <v>30102.503992717364</v>
      </c>
      <c r="U16" s="33">
        <f t="shared" si="3"/>
        <v>32285</v>
      </c>
    </row>
    <row r="17" spans="1:21" ht="16.5" thickBot="1" x14ac:dyDescent="0.3">
      <c r="A17" s="28"/>
      <c r="B17" s="125" t="s">
        <v>80</v>
      </c>
      <c r="C17" s="32">
        <v>-38752</v>
      </c>
      <c r="D17" s="32">
        <v>-26601.341855272254</v>
      </c>
      <c r="E17" s="32">
        <v>-35542</v>
      </c>
      <c r="F17" s="32">
        <v>-19631</v>
      </c>
      <c r="G17" s="32">
        <v>-33255.541249920563</v>
      </c>
      <c r="H17" s="32">
        <v>-44778</v>
      </c>
      <c r="I17" s="32">
        <v>-9827</v>
      </c>
      <c r="J17" s="32">
        <v>-19408</v>
      </c>
      <c r="K17" s="32">
        <v>-28784.250481820487</v>
      </c>
      <c r="L17" s="32">
        <v>-35043</v>
      </c>
      <c r="M17" s="34">
        <v>-8096</v>
      </c>
      <c r="O17" s="32">
        <f t="shared" si="0"/>
        <v>-13624.541249920563</v>
      </c>
      <c r="P17" s="32">
        <f t="shared" si="1"/>
        <v>-11522.458750079437</v>
      </c>
      <c r="Q17" s="32">
        <f t="shared" si="4"/>
        <v>-9827</v>
      </c>
      <c r="R17" s="32">
        <f t="shared" si="5"/>
        <v>-9581</v>
      </c>
      <c r="S17" s="32">
        <f t="shared" si="6"/>
        <v>-9376.250481820487</v>
      </c>
      <c r="T17" s="32">
        <f t="shared" si="2"/>
        <v>-6258.749518179513</v>
      </c>
      <c r="U17" s="34">
        <f t="shared" si="3"/>
        <v>-8096</v>
      </c>
    </row>
    <row r="18" spans="1:21" ht="16.5" thickBot="1" x14ac:dyDescent="0.3">
      <c r="A18" s="28"/>
      <c r="B18" s="126" t="s">
        <v>81</v>
      </c>
      <c r="C18" s="19">
        <f>SUM(C16:C17)</f>
        <v>117211</v>
      </c>
      <c r="D18" s="19">
        <f>SUM(D16:D17)</f>
        <v>81522.536984727238</v>
      </c>
      <c r="E18" s="19">
        <f t="shared" ref="E18:G18" si="18">SUM(E16:E17)</f>
        <v>107295</v>
      </c>
      <c r="F18" s="19">
        <f t="shared" si="18"/>
        <v>58889</v>
      </c>
      <c r="G18" s="19">
        <f t="shared" si="18"/>
        <v>99654.178689761669</v>
      </c>
      <c r="H18" s="19">
        <f t="shared" ref="H18:M18" si="19">SUM(H16:H17)</f>
        <v>134846</v>
      </c>
      <c r="I18" s="19">
        <f t="shared" si="19"/>
        <v>29600</v>
      </c>
      <c r="J18" s="19">
        <f t="shared" si="19"/>
        <v>58210</v>
      </c>
      <c r="K18" s="19">
        <f t="shared" si="19"/>
        <v>86293.245525462145</v>
      </c>
      <c r="L18" s="19">
        <f t="shared" si="19"/>
        <v>110137</v>
      </c>
      <c r="M18" s="26">
        <f t="shared" si="19"/>
        <v>24189</v>
      </c>
      <c r="O18" s="19">
        <f t="shared" si="0"/>
        <v>40765.178689761669</v>
      </c>
      <c r="P18" s="19">
        <f t="shared" si="1"/>
        <v>35191.821310238331</v>
      </c>
      <c r="Q18" s="19">
        <f t="shared" si="4"/>
        <v>29600</v>
      </c>
      <c r="R18" s="19">
        <f t="shared" si="5"/>
        <v>28610</v>
      </c>
      <c r="S18" s="19">
        <f t="shared" si="6"/>
        <v>28083.245525462145</v>
      </c>
      <c r="T18" s="19">
        <f>L18-K18</f>
        <v>23843.754474537855</v>
      </c>
      <c r="U18" s="26">
        <f>M18</f>
        <v>24189</v>
      </c>
    </row>
    <row r="19" spans="1:21" s="4" customFormat="1" ht="9" customHeight="1" x14ac:dyDescent="0.25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1:21" s="4" customFormat="1" x14ac:dyDescent="0.25">
      <c r="C20" s="61"/>
      <c r="D20" s="61"/>
      <c r="E20" s="61"/>
      <c r="F20" s="61"/>
      <c r="G20" s="61"/>
      <c r="H20" s="61"/>
      <c r="I20" s="136"/>
      <c r="J20" s="61"/>
      <c r="K20" s="61"/>
      <c r="L20" s="61"/>
      <c r="M20" s="139" t="s">
        <v>63</v>
      </c>
      <c r="N20" s="61"/>
      <c r="O20" s="61"/>
      <c r="P20" s="61"/>
      <c r="Q20" s="136"/>
      <c r="R20" s="136"/>
      <c r="S20" s="61"/>
      <c r="U20" s="139" t="s">
        <v>63</v>
      </c>
    </row>
    <row r="21" spans="1:21" x14ac:dyDescent="0.25">
      <c r="B21" s="127"/>
      <c r="C21" s="2"/>
      <c r="D21" s="2"/>
      <c r="E21" s="3"/>
      <c r="F21" s="2"/>
      <c r="G21" s="2"/>
      <c r="H21" s="2"/>
      <c r="J21" s="2"/>
      <c r="K21" s="2"/>
      <c r="L21" s="2"/>
      <c r="M21" s="2"/>
      <c r="O21" s="2"/>
      <c r="P21" s="2"/>
      <c r="S21" s="2"/>
      <c r="T21" s="2"/>
      <c r="U21" s="2"/>
    </row>
    <row r="22" spans="1:21" x14ac:dyDescent="0.25">
      <c r="C22" s="2"/>
      <c r="D22" s="2"/>
      <c r="E22" s="7"/>
      <c r="F22" s="2"/>
      <c r="G22" s="2"/>
      <c r="H22" s="2"/>
      <c r="J22" s="2"/>
      <c r="K22" s="2"/>
      <c r="L22" s="2"/>
      <c r="M22" s="2"/>
      <c r="O22" s="2"/>
      <c r="P22" s="2"/>
      <c r="S22" s="2"/>
      <c r="T22" s="2"/>
      <c r="U22" s="2"/>
    </row>
    <row r="23" spans="1:21" ht="15.75" thickBot="1" x14ac:dyDescent="0.3">
      <c r="B23" s="128"/>
      <c r="C23" s="56" t="s">
        <v>6</v>
      </c>
      <c r="D23" s="18" t="s">
        <v>16</v>
      </c>
      <c r="E23" s="56" t="s">
        <v>3</v>
      </c>
      <c r="F23" s="18" t="s">
        <v>17</v>
      </c>
      <c r="G23" s="18" t="s">
        <v>14</v>
      </c>
      <c r="H23" s="56" t="s">
        <v>4</v>
      </c>
      <c r="I23" s="18" t="s">
        <v>132</v>
      </c>
      <c r="J23" s="18" t="s">
        <v>15</v>
      </c>
      <c r="K23" s="18" t="s">
        <v>13</v>
      </c>
      <c r="L23" s="18" t="s">
        <v>19</v>
      </c>
      <c r="M23" s="58" t="s">
        <v>136</v>
      </c>
      <c r="O23" s="18" t="s">
        <v>64</v>
      </c>
      <c r="P23" s="18" t="s">
        <v>65</v>
      </c>
      <c r="Q23" s="18" t="s">
        <v>133</v>
      </c>
      <c r="R23" s="18" t="s">
        <v>134</v>
      </c>
      <c r="S23" s="18" t="s">
        <v>66</v>
      </c>
      <c r="T23" s="18" t="s">
        <v>67</v>
      </c>
      <c r="U23" s="23" t="s">
        <v>137</v>
      </c>
    </row>
    <row r="24" spans="1:21" x14ac:dyDescent="0.25">
      <c r="B24" s="122" t="s">
        <v>82</v>
      </c>
      <c r="C24" s="60">
        <f>-C7/C6</f>
        <v>0.64686526463054139</v>
      </c>
      <c r="D24" s="60">
        <f>-D7/D6</f>
        <v>0.67806693457017408</v>
      </c>
      <c r="E24" s="60">
        <f t="shared" ref="E24:G24" si="20">-E7/E6</f>
        <v>0.67970616382104021</v>
      </c>
      <c r="F24" s="60">
        <f t="shared" ref="F24" si="21">-F7/F6</f>
        <v>0.64370165745856356</v>
      </c>
      <c r="G24" s="60">
        <f t="shared" si="20"/>
        <v>0.61770867470308044</v>
      </c>
      <c r="H24" s="60">
        <f>-H7/H6</f>
        <v>0.61498308427572124</v>
      </c>
      <c r="I24" s="60">
        <f>-I7/I6</f>
        <v>0.65791687077722216</v>
      </c>
      <c r="J24" s="60">
        <f t="shared" ref="J24" si="22">-J7/J6</f>
        <v>0.65341645393389347</v>
      </c>
      <c r="K24" s="60">
        <f>-K7/K6</f>
        <v>0.65935325154689928</v>
      </c>
      <c r="L24" s="60">
        <f>-L7/L6</f>
        <v>0.67724146056316326</v>
      </c>
      <c r="M24" s="63">
        <f>-M7/M6</f>
        <v>0.69145899659677246</v>
      </c>
      <c r="O24" s="60">
        <f t="shared" ref="O24:T24" si="23">-O7/O6</f>
        <v>0.56634394796042486</v>
      </c>
      <c r="P24" s="60">
        <f t="shared" si="23"/>
        <v>0.60702079619173344</v>
      </c>
      <c r="Q24" s="60">
        <f t="shared" si="23"/>
        <v>0.65791687077722216</v>
      </c>
      <c r="R24" s="60">
        <f t="shared" si="23"/>
        <v>0.64898204519892355</v>
      </c>
      <c r="S24" s="60">
        <f t="shared" si="23"/>
        <v>0.67098447235863878</v>
      </c>
      <c r="T24" s="60">
        <f t="shared" si="23"/>
        <v>0.72978463657366088</v>
      </c>
      <c r="U24" s="63">
        <f t="shared" ref="U24" si="24">-U7/U6</f>
        <v>0.69145899659677246</v>
      </c>
    </row>
    <row r="25" spans="1:21" ht="15.75" thickBot="1" x14ac:dyDescent="0.3">
      <c r="B25" s="122" t="s">
        <v>83</v>
      </c>
      <c r="C25" s="60">
        <f>-(C8+C9)/C6</f>
        <v>0.20880839996618844</v>
      </c>
      <c r="D25" s="60">
        <f>-(D8+D9)/D6</f>
        <v>0.19615531286821644</v>
      </c>
      <c r="E25" s="60">
        <f t="shared" ref="E25:G25" si="25">-(E8+E9)/E6</f>
        <v>0.19903201124991518</v>
      </c>
      <c r="F25" s="60">
        <f t="shared" ref="F25" si="26">-(F8+F9)/F6</f>
        <v>0.21349447513812156</v>
      </c>
      <c r="G25" s="60">
        <f t="shared" si="25"/>
        <v>0.21482060547230089</v>
      </c>
      <c r="H25" s="60">
        <f>-(H8+H9)/H6</f>
        <v>0.21883287765450474</v>
      </c>
      <c r="I25" s="60">
        <f>-(I8+I9)/I6</f>
        <v>0.19630660024215985</v>
      </c>
      <c r="J25" s="60">
        <f t="shared" ref="J25" si="27">-(J8+J9)/J6</f>
        <v>0.20176700084634386</v>
      </c>
      <c r="K25" s="60">
        <f>-(K8+K9)/K6</f>
        <v>0.2045721926805609</v>
      </c>
      <c r="L25" s="60">
        <f>-(L8+L9)/L6</f>
        <v>0.20535544357944915</v>
      </c>
      <c r="M25" s="63">
        <f>-(M8+M9)/M6</f>
        <v>0.19826545175101548</v>
      </c>
      <c r="O25" s="60">
        <f t="shared" ref="O25:T25" si="28">-(O8+O9)/O6</f>
        <v>0.21744117129504786</v>
      </c>
      <c r="P25" s="60">
        <f t="shared" si="28"/>
        <v>0.23055395895321951</v>
      </c>
      <c r="Q25" s="60">
        <f t="shared" si="28"/>
        <v>0.19630660024215985</v>
      </c>
      <c r="R25" s="60">
        <f t="shared" si="28"/>
        <v>0.20714731315486301</v>
      </c>
      <c r="S25" s="60">
        <f t="shared" si="28"/>
        <v>0.21006805219438179</v>
      </c>
      <c r="T25" s="60">
        <f t="shared" si="28"/>
        <v>0.20765609256019665</v>
      </c>
      <c r="U25" s="63">
        <f t="shared" ref="U25" si="29">-(U8+U9)/U6</f>
        <v>0.19826545175101548</v>
      </c>
    </row>
    <row r="26" spans="1:21" ht="15.75" thickBot="1" x14ac:dyDescent="0.3">
      <c r="B26" s="126" t="s">
        <v>84</v>
      </c>
      <c r="C26" s="64">
        <f>-(C7+C8+C9)/C6</f>
        <v>0.85567366459672989</v>
      </c>
      <c r="D26" s="64">
        <f>-(D7+D8+D9)/D6</f>
        <v>0.8742222474383905</v>
      </c>
      <c r="E26" s="64">
        <f t="shared" ref="E26:G26" si="30">-(E7+E8+E9)/E6</f>
        <v>0.87873817507095542</v>
      </c>
      <c r="F26" s="64">
        <f t="shared" ref="F26" si="31">-(F7+F8+F9)/F6</f>
        <v>0.85719613259668503</v>
      </c>
      <c r="G26" s="64">
        <f t="shared" si="30"/>
        <v>0.83252928017538153</v>
      </c>
      <c r="H26" s="64">
        <f>-(H7+H8+H9)/H6</f>
        <v>0.83381596193022589</v>
      </c>
      <c r="I26" s="64">
        <f>-(I7+I8+I9)/I6</f>
        <v>0.85422347101938201</v>
      </c>
      <c r="J26" s="64">
        <f t="shared" ref="J26" si="32">-(J7+J8+J9)/J6</f>
        <v>0.85518345478023727</v>
      </c>
      <c r="K26" s="64">
        <f>-(K7+K8+K9)/K6</f>
        <v>0.8639254442274602</v>
      </c>
      <c r="L26" s="64">
        <f>-(L7+L8+L9)/L6</f>
        <v>0.88259690414261249</v>
      </c>
      <c r="M26" s="66">
        <f>-(M7+M8+M9)/M6</f>
        <v>0.88972444834778786</v>
      </c>
      <c r="O26" s="64">
        <f t="shared" ref="O26:T26" si="33">-(O7+O8+O9)/O6</f>
        <v>0.78378511925547267</v>
      </c>
      <c r="P26" s="64">
        <f t="shared" si="33"/>
        <v>0.83757475514495305</v>
      </c>
      <c r="Q26" s="64">
        <f t="shared" si="33"/>
        <v>0.85422347101938201</v>
      </c>
      <c r="R26" s="64">
        <f t="shared" si="33"/>
        <v>0.85612935835378656</v>
      </c>
      <c r="S26" s="64">
        <f t="shared" si="33"/>
        <v>0.88105252455302052</v>
      </c>
      <c r="T26" s="64">
        <f t="shared" si="33"/>
        <v>0.93744072913385756</v>
      </c>
      <c r="U26" s="66">
        <f t="shared" ref="U26" si="34">-(U7+U8+U9)/U6</f>
        <v>0.88972444834778786</v>
      </c>
    </row>
    <row r="29" spans="1:21" x14ac:dyDescent="0.25">
      <c r="U29" s="98"/>
    </row>
  </sheetData>
  <hyperlinks>
    <hyperlink ref="A2" location="'Financial supplement&gt;&gt;&gt;'!A1" display="INDEX" xr:uid="{6B0DFF7D-D407-46C3-BA79-3AB9AD5C486C}"/>
  </hyperlinks>
  <pageMargins left="0.7" right="0.7" top="0.75" bottom="0.75" header="0.3" footer="0.3"/>
  <pageSetup paperSize="9" scale="63" orientation="landscape" r:id="rId1"/>
  <colBreaks count="1" manualBreakCount="1">
    <brk id="20" max="1048575" man="1"/>
  </colBreaks>
  <ignoredErrors>
    <ignoredError sqref="C10 K10:M10 E10:I10 J10" formulaRange="1"/>
    <ignoredError sqref="Q5:Q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AJ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4" customWidth="1"/>
    <col min="2" max="2" width="14.28515625" style="4" customWidth="1"/>
    <col min="3" max="3" width="11.28515625" style="4" customWidth="1"/>
    <col min="4" max="4" width="11.28515625" style="4" hidden="1" customWidth="1" outlineLevel="1"/>
    <col min="5" max="5" width="11.28515625" style="4" customWidth="1" collapsed="1"/>
    <col min="6" max="7" width="11.28515625" style="4" hidden="1" customWidth="1" outlineLevel="1"/>
    <col min="8" max="8" width="11.28515625" style="4" customWidth="1" collapsed="1"/>
    <col min="9" max="9" width="11.28515625" style="4" customWidth="1"/>
    <col min="10" max="11" width="11.28515625" style="4" hidden="1" customWidth="1" outlineLevel="1"/>
    <col min="12" max="12" width="11.28515625" style="4" customWidth="1" collapsed="1"/>
    <col min="13" max="14" width="11.28515625" style="4" customWidth="1"/>
    <col min="15" max="16384" width="11.42578125" style="4"/>
  </cols>
  <sheetData>
    <row r="1" spans="1:14" ht="16.5" customHeight="1" x14ac:dyDescent="0.25"/>
    <row r="2" spans="1:14" ht="18.75" customHeight="1" thickBot="1" x14ac:dyDescent="0.3">
      <c r="A2" s="90" t="s">
        <v>20</v>
      </c>
      <c r="B2" s="117" t="s">
        <v>85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37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37"/>
      <c r="B4" s="40"/>
      <c r="C4" s="142" t="s">
        <v>86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15.75" thickBot="1" x14ac:dyDescent="0.3">
      <c r="A5" s="37"/>
      <c r="B5" s="35"/>
      <c r="C5" s="49" t="s">
        <v>6</v>
      </c>
      <c r="D5" s="49" t="s">
        <v>16</v>
      </c>
      <c r="E5" s="49" t="s">
        <v>3</v>
      </c>
      <c r="F5" s="49" t="s">
        <v>17</v>
      </c>
      <c r="G5" s="49" t="s">
        <v>14</v>
      </c>
      <c r="H5" s="49" t="s">
        <v>4</v>
      </c>
      <c r="I5" s="137" t="s">
        <v>132</v>
      </c>
      <c r="J5" s="49" t="s">
        <v>15</v>
      </c>
      <c r="K5" s="49" t="s">
        <v>13</v>
      </c>
      <c r="L5" s="49" t="s">
        <v>19</v>
      </c>
      <c r="M5" s="50" t="s">
        <v>136</v>
      </c>
      <c r="N5" s="51" t="s">
        <v>0</v>
      </c>
    </row>
    <row r="6" spans="1:14" x14ac:dyDescent="0.25">
      <c r="A6" s="37"/>
      <c r="B6" s="122" t="s">
        <v>24</v>
      </c>
      <c r="C6" s="59">
        <v>741178</v>
      </c>
      <c r="D6" s="59">
        <v>573625.1777</v>
      </c>
      <c r="E6" s="59">
        <v>761158.29799999995</v>
      </c>
      <c r="F6" s="59">
        <v>377490.58504999999</v>
      </c>
      <c r="G6" s="59">
        <v>567177.75003999996</v>
      </c>
      <c r="H6" s="59">
        <v>754656.36600000004</v>
      </c>
      <c r="I6" s="59">
        <v>178953</v>
      </c>
      <c r="J6" s="59">
        <v>373700.42211000004</v>
      </c>
      <c r="K6" s="59">
        <v>563300.91514000006</v>
      </c>
      <c r="L6" s="59">
        <v>748100</v>
      </c>
      <c r="M6" s="99">
        <v>181928</v>
      </c>
      <c r="N6" s="42">
        <f t="shared" ref="N6:N9" si="0">+M6/I6-1</f>
        <v>1.662447681793533E-2</v>
      </c>
    </row>
    <row r="7" spans="1:14" x14ac:dyDescent="0.25">
      <c r="A7" s="37"/>
      <c r="B7" s="122" t="s">
        <v>25</v>
      </c>
      <c r="C7" s="59">
        <v>100691</v>
      </c>
      <c r="D7" s="59">
        <v>82446.400180000026</v>
      </c>
      <c r="E7" s="59">
        <v>111356.549</v>
      </c>
      <c r="F7" s="59">
        <v>59705.956969999999</v>
      </c>
      <c r="G7" s="59">
        <v>89543.79578</v>
      </c>
      <c r="H7" s="59">
        <v>120653.628</v>
      </c>
      <c r="I7" s="59">
        <v>31764</v>
      </c>
      <c r="J7" s="59">
        <v>64779.205790000007</v>
      </c>
      <c r="K7" s="59">
        <v>97044.810309999986</v>
      </c>
      <c r="L7" s="59">
        <v>131243</v>
      </c>
      <c r="M7" s="99">
        <v>35256</v>
      </c>
      <c r="N7" s="42">
        <f t="shared" si="0"/>
        <v>0.10993577635058549</v>
      </c>
    </row>
    <row r="8" spans="1:14" x14ac:dyDescent="0.25">
      <c r="A8" s="37"/>
      <c r="B8" s="122" t="s">
        <v>26</v>
      </c>
      <c r="C8" s="59">
        <v>7518</v>
      </c>
      <c r="D8" s="59">
        <v>12243.391560000002</v>
      </c>
      <c r="E8" s="59">
        <v>15744</v>
      </c>
      <c r="F8" s="59">
        <v>13257.647209999999</v>
      </c>
      <c r="G8" s="59">
        <v>16876.646899999996</v>
      </c>
      <c r="H8" s="59">
        <v>21826</v>
      </c>
      <c r="I8" s="59">
        <v>12002</v>
      </c>
      <c r="J8" s="59">
        <v>16622.485779999999</v>
      </c>
      <c r="K8" s="59">
        <v>20912.694649999998</v>
      </c>
      <c r="L8" s="59">
        <v>26449</v>
      </c>
      <c r="M8" s="99">
        <v>13760</v>
      </c>
      <c r="N8" s="42">
        <f t="shared" si="0"/>
        <v>0.14647558740209976</v>
      </c>
    </row>
    <row r="9" spans="1:14" ht="15.75" thickBot="1" x14ac:dyDescent="0.3">
      <c r="A9" s="37"/>
      <c r="B9" s="122" t="s">
        <v>27</v>
      </c>
      <c r="C9" s="59">
        <v>3733</v>
      </c>
      <c r="D9" s="59">
        <v>2922.9176800000005</v>
      </c>
      <c r="E9" s="59">
        <v>3036</v>
      </c>
      <c r="F9" s="59">
        <v>1455.98549</v>
      </c>
      <c r="G9" s="59">
        <v>1458.5712900000001</v>
      </c>
      <c r="H9" s="59">
        <v>1478</v>
      </c>
      <c r="I9" s="59">
        <v>1349</v>
      </c>
      <c r="J9" s="59">
        <v>1363.2525899999998</v>
      </c>
      <c r="K9" s="59">
        <v>1379.12904</v>
      </c>
      <c r="L9" s="59">
        <v>1397</v>
      </c>
      <c r="M9" s="99">
        <v>1061</v>
      </c>
      <c r="N9" s="42">
        <f t="shared" si="0"/>
        <v>-0.21349147516679023</v>
      </c>
    </row>
    <row r="10" spans="1:14" ht="15.75" thickBot="1" x14ac:dyDescent="0.3">
      <c r="A10" s="37"/>
      <c r="B10" s="126" t="s">
        <v>1</v>
      </c>
      <c r="C10" s="100">
        <f t="shared" ref="C10:I10" si="1">SUM(C6:C9)</f>
        <v>853120</v>
      </c>
      <c r="D10" s="100">
        <f>SUM(D6:D9)</f>
        <v>671237.88711999997</v>
      </c>
      <c r="E10" s="100">
        <f t="shared" si="1"/>
        <v>891294.84699999995</v>
      </c>
      <c r="F10" s="100">
        <f>SUM(F6:F9)</f>
        <v>451910.17472000001</v>
      </c>
      <c r="G10" s="100">
        <f>SUM(G6:G9)</f>
        <v>675056.76401000004</v>
      </c>
      <c r="H10" s="100">
        <f t="shared" si="1"/>
        <v>898613.99400000006</v>
      </c>
      <c r="I10" s="100">
        <f t="shared" si="1"/>
        <v>224068</v>
      </c>
      <c r="J10" s="100">
        <f>SUM(J6:J9)</f>
        <v>456465.36627000006</v>
      </c>
      <c r="K10" s="100">
        <f>SUM(K6:K9)</f>
        <v>682637.54914000002</v>
      </c>
      <c r="L10" s="100">
        <f>SUM(L6:L9)</f>
        <v>907189</v>
      </c>
      <c r="M10" s="101">
        <f>SUM(M6:M9)</f>
        <v>232005</v>
      </c>
      <c r="N10" s="47">
        <f>+M10/I10-1</f>
        <v>3.5422282521377468E-2</v>
      </c>
    </row>
    <row r="11" spans="1:14" x14ac:dyDescent="0.25">
      <c r="A11" s="37"/>
      <c r="B11" s="29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3" spans="1:14" x14ac:dyDescent="0.25">
      <c r="B13" s="40"/>
      <c r="C13" s="142" t="s">
        <v>73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5.75" thickBot="1" x14ac:dyDescent="0.3">
      <c r="B14" s="35"/>
      <c r="C14" s="49" t="s">
        <v>6</v>
      </c>
      <c r="D14" s="49" t="s">
        <v>16</v>
      </c>
      <c r="E14" s="49" t="s">
        <v>3</v>
      </c>
      <c r="F14" s="49" t="s">
        <v>17</v>
      </c>
      <c r="G14" s="49" t="s">
        <v>14</v>
      </c>
      <c r="H14" s="49" t="s">
        <v>4</v>
      </c>
      <c r="I14" s="137" t="s">
        <v>132</v>
      </c>
      <c r="J14" s="137" t="s">
        <v>15</v>
      </c>
      <c r="K14" s="49" t="s">
        <v>13</v>
      </c>
      <c r="L14" s="49" t="s">
        <v>19</v>
      </c>
      <c r="M14" s="50" t="s">
        <v>136</v>
      </c>
      <c r="N14" s="51" t="s">
        <v>0</v>
      </c>
    </row>
    <row r="15" spans="1:14" x14ac:dyDescent="0.25">
      <c r="B15" s="122" t="s">
        <v>24</v>
      </c>
      <c r="C15" s="59">
        <v>114974</v>
      </c>
      <c r="D15" s="59">
        <v>77269.079859267789</v>
      </c>
      <c r="E15" s="59">
        <v>106533</v>
      </c>
      <c r="F15" s="59">
        <v>58351</v>
      </c>
      <c r="G15" s="59">
        <v>108794.48834439731</v>
      </c>
      <c r="H15" s="59">
        <v>146481</v>
      </c>
      <c r="I15" s="59">
        <v>31111</v>
      </c>
      <c r="J15" s="59">
        <v>60590</v>
      </c>
      <c r="K15" s="59">
        <v>85631.862512646418</v>
      </c>
      <c r="L15" s="59">
        <v>96993</v>
      </c>
      <c r="M15" s="99">
        <v>21431</v>
      </c>
      <c r="N15" s="42">
        <f t="shared" ref="N15:N18" si="2">+M15/I15-1</f>
        <v>-0.31114396837131564</v>
      </c>
    </row>
    <row r="16" spans="1:14" x14ac:dyDescent="0.25">
      <c r="B16" s="122" t="s">
        <v>25</v>
      </c>
      <c r="C16" s="59">
        <v>8694</v>
      </c>
      <c r="D16" s="59">
        <v>8624.6461006365007</v>
      </c>
      <c r="E16" s="59">
        <v>12347</v>
      </c>
      <c r="F16" s="59">
        <v>6097</v>
      </c>
      <c r="G16" s="59">
        <v>5427.218407247964</v>
      </c>
      <c r="H16" s="59">
        <v>6684</v>
      </c>
      <c r="I16" s="59">
        <v>500</v>
      </c>
      <c r="J16" s="59">
        <v>5090.1000000000004</v>
      </c>
      <c r="K16" s="59">
        <v>8590.3283707111441</v>
      </c>
      <c r="L16" s="59">
        <v>13171</v>
      </c>
      <c r="M16" s="99">
        <v>2338</v>
      </c>
      <c r="N16" s="42">
        <f t="shared" si="2"/>
        <v>3.6760000000000002</v>
      </c>
    </row>
    <row r="17" spans="2:14" x14ac:dyDescent="0.25">
      <c r="B17" s="122" t="s">
        <v>26</v>
      </c>
      <c r="C17" s="59">
        <v>-7042</v>
      </c>
      <c r="D17" s="59">
        <v>-6229.9020976889951</v>
      </c>
      <c r="E17" s="59">
        <v>-16346</v>
      </c>
      <c r="F17" s="59">
        <v>-2658</v>
      </c>
      <c r="G17" s="59">
        <v>-5037.0967525568076</v>
      </c>
      <c r="H17" s="59">
        <v>-7890</v>
      </c>
      <c r="I17" s="59">
        <v>-161</v>
      </c>
      <c r="J17" s="59">
        <v>-3006</v>
      </c>
      <c r="K17" s="59">
        <v>-5209.2778021447957</v>
      </c>
      <c r="L17" s="59">
        <v>-7210</v>
      </c>
      <c r="M17" s="99">
        <v>75</v>
      </c>
      <c r="N17" s="42">
        <f t="shared" si="2"/>
        <v>-1.4658385093167703</v>
      </c>
    </row>
    <row r="18" spans="2:14" ht="15.75" thickBot="1" x14ac:dyDescent="0.3">
      <c r="B18" s="122" t="s">
        <v>27</v>
      </c>
      <c r="C18" s="59">
        <v>1186</v>
      </c>
      <c r="D18" s="59">
        <v>1003.9744355210007</v>
      </c>
      <c r="E18" s="59">
        <v>1116</v>
      </c>
      <c r="F18" s="59">
        <v>248</v>
      </c>
      <c r="G18" s="59">
        <v>379.24984877120119</v>
      </c>
      <c r="H18" s="59">
        <v>664</v>
      </c>
      <c r="I18" s="59">
        <v>94</v>
      </c>
      <c r="J18" s="59">
        <v>464.49118294079932</v>
      </c>
      <c r="K18" s="59">
        <v>596.55913451119875</v>
      </c>
      <c r="L18" s="59">
        <v>681</v>
      </c>
      <c r="M18" s="99">
        <v>264</v>
      </c>
      <c r="N18" s="42">
        <f t="shared" si="2"/>
        <v>1.8085106382978724</v>
      </c>
    </row>
    <row r="19" spans="2:14" ht="15.75" thickBot="1" x14ac:dyDescent="0.3">
      <c r="B19" s="126" t="s">
        <v>1</v>
      </c>
      <c r="C19" s="100">
        <f t="shared" ref="C19:I19" si="3">SUM(C15:C18)</f>
        <v>117812</v>
      </c>
      <c r="D19" s="100">
        <f>SUM(D15:D18)</f>
        <v>80667.798297736299</v>
      </c>
      <c r="E19" s="100">
        <f t="shared" si="3"/>
        <v>103650</v>
      </c>
      <c r="F19" s="100">
        <f>SUM(F15:F18)</f>
        <v>62038</v>
      </c>
      <c r="G19" s="100">
        <f>SUM(G15:G18)</f>
        <v>109563.85984785965</v>
      </c>
      <c r="H19" s="100">
        <f t="shared" si="3"/>
        <v>145939</v>
      </c>
      <c r="I19" s="100">
        <f t="shared" si="3"/>
        <v>31544</v>
      </c>
      <c r="J19" s="100">
        <f>SUM(J15:J18)</f>
        <v>63138.591182940807</v>
      </c>
      <c r="K19" s="100">
        <f>SUM(K15:K18)</f>
        <v>89609.472215723959</v>
      </c>
      <c r="L19" s="100">
        <f>SUM(L15:L18)</f>
        <v>103635</v>
      </c>
      <c r="M19" s="101">
        <f>SUM(M15:M18)</f>
        <v>24108</v>
      </c>
      <c r="N19" s="47">
        <f>+M19/I19-1</f>
        <v>-0.23573421252853155</v>
      </c>
    </row>
    <row r="22" spans="2:14" x14ac:dyDescent="0.25">
      <c r="B22" s="40"/>
      <c r="C22" s="142" t="s">
        <v>84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ht="15.75" thickBot="1" x14ac:dyDescent="0.3">
      <c r="B23" s="35"/>
      <c r="C23" s="49" t="s">
        <v>6</v>
      </c>
      <c r="D23" s="49" t="s">
        <v>16</v>
      </c>
      <c r="E23" s="49" t="s">
        <v>3</v>
      </c>
      <c r="F23" s="49" t="s">
        <v>17</v>
      </c>
      <c r="G23" s="49" t="s">
        <v>14</v>
      </c>
      <c r="H23" s="49" t="s">
        <v>4</v>
      </c>
      <c r="I23" s="137" t="s">
        <v>132</v>
      </c>
      <c r="J23" s="137" t="s">
        <v>15</v>
      </c>
      <c r="K23" s="49" t="s">
        <v>13</v>
      </c>
      <c r="L23" s="49" t="s">
        <v>19</v>
      </c>
      <c r="M23" s="50" t="s">
        <v>136</v>
      </c>
      <c r="N23" s="51" t="s">
        <v>18</v>
      </c>
    </row>
    <row r="24" spans="2:14" x14ac:dyDescent="0.25">
      <c r="B24" s="122" t="s">
        <v>24</v>
      </c>
      <c r="C24" s="52">
        <v>0.83998519180371911</v>
      </c>
      <c r="D24" s="52">
        <v>0.86158632267781621</v>
      </c>
      <c r="E24" s="52">
        <v>0.85763501441249534</v>
      </c>
      <c r="F24" s="52">
        <v>0.84404485621970904</v>
      </c>
      <c r="G24" s="52">
        <v>0.80661844089481582</v>
      </c>
      <c r="H24" s="52">
        <v>0.80536802173783062</v>
      </c>
      <c r="I24" s="52">
        <v>0.83116221798944634</v>
      </c>
      <c r="J24" s="52">
        <v>0.83659919203033395</v>
      </c>
      <c r="K24" s="52">
        <v>0.84690835828096978</v>
      </c>
      <c r="L24" s="52">
        <v>0.87021020482720701</v>
      </c>
      <c r="M24" s="53">
        <v>0.88320280779774274</v>
      </c>
      <c r="N24" s="43">
        <f>(M24-I24)*100</f>
        <v>5.2040589808296396</v>
      </c>
    </row>
    <row r="25" spans="2:14" x14ac:dyDescent="0.25">
      <c r="B25" s="122" t="s">
        <v>25</v>
      </c>
      <c r="C25" s="52">
        <v>0.90591520031166817</v>
      </c>
      <c r="D25" s="52">
        <v>0.88654844417606182</v>
      </c>
      <c r="E25" s="52">
        <v>0.87972920319501269</v>
      </c>
      <c r="F25" s="52">
        <v>0.88768668779024995</v>
      </c>
      <c r="G25" s="52">
        <v>0.93426737590583953</v>
      </c>
      <c r="H25" s="52">
        <v>0.94007853262331231</v>
      </c>
      <c r="I25" s="52">
        <v>0.98259656541624618</v>
      </c>
      <c r="J25" s="52">
        <v>0.91249183371729181</v>
      </c>
      <c r="K25" s="52">
        <v>0.90270149047864323</v>
      </c>
      <c r="L25" s="52">
        <v>0.88937857458516889</v>
      </c>
      <c r="M25" s="53">
        <v>0.92431697526867795</v>
      </c>
      <c r="N25" s="95">
        <f t="shared" ref="N25:N28" si="4">(M25-I25)*100</f>
        <v>-5.8279590147568232</v>
      </c>
    </row>
    <row r="26" spans="2:14" x14ac:dyDescent="0.25">
      <c r="B26" s="122" t="s">
        <v>26</v>
      </c>
      <c r="C26" s="52">
        <v>4.2799254774103401</v>
      </c>
      <c r="D26" s="52">
        <v>2.3088475175085561</v>
      </c>
      <c r="E26" s="52">
        <v>22.852941176470587</v>
      </c>
      <c r="F26" s="52">
        <v>1.5441852187619376</v>
      </c>
      <c r="G26" s="52">
        <v>1.6647337419040928</v>
      </c>
      <c r="H26" s="52">
        <v>1.656405990016639</v>
      </c>
      <c r="I26" s="52">
        <v>1.0528599565326944</v>
      </c>
      <c r="J26" s="52">
        <v>1.4739829706717125</v>
      </c>
      <c r="K26" s="52">
        <v>1.5282904972535181</v>
      </c>
      <c r="L26" s="52">
        <v>1.4811908131874167</v>
      </c>
      <c r="M26" s="53">
        <v>0.98002131060202446</v>
      </c>
      <c r="N26" s="95">
        <f t="shared" si="4"/>
        <v>-7.2838645930669905</v>
      </c>
    </row>
    <row r="27" spans="2:14" ht="15.75" thickBot="1" x14ac:dyDescent="0.3">
      <c r="B27" s="122" t="s">
        <v>27</v>
      </c>
      <c r="C27" s="52">
        <v>0.63110419906687398</v>
      </c>
      <c r="D27" s="52">
        <v>0.56801466267811263</v>
      </c>
      <c r="E27" s="52">
        <v>0.63316912972085382</v>
      </c>
      <c r="F27" s="52">
        <v>0.76975401576572056</v>
      </c>
      <c r="G27" s="52">
        <v>0.7462364568024481</v>
      </c>
      <c r="H27" s="52">
        <v>0.66899302093718838</v>
      </c>
      <c r="I27" s="52">
        <v>0.71274124047723175</v>
      </c>
      <c r="J27" s="52">
        <v>0.31556677519061266</v>
      </c>
      <c r="K27" s="52">
        <v>0.42239009208261347</v>
      </c>
      <c r="L27" s="52">
        <v>0.50931268712671374</v>
      </c>
      <c r="M27" s="53">
        <v>0.45114345114345117</v>
      </c>
      <c r="N27" s="95">
        <f t="shared" si="4"/>
        <v>-26.159778933378057</v>
      </c>
    </row>
    <row r="28" spans="2:14" ht="15.75" thickBot="1" x14ac:dyDescent="0.3">
      <c r="B28" s="126" t="s">
        <v>1</v>
      </c>
      <c r="C28" s="54">
        <v>0.85567366459672978</v>
      </c>
      <c r="D28" s="54">
        <v>0.8742222474383905</v>
      </c>
      <c r="E28" s="54">
        <v>0.87873817507095542</v>
      </c>
      <c r="F28" s="54">
        <v>0.85718813439399422</v>
      </c>
      <c r="G28" s="54">
        <v>0.83252928017538141</v>
      </c>
      <c r="H28" s="54">
        <v>0.833815961930226</v>
      </c>
      <c r="I28" s="54">
        <v>0.85421891600437738</v>
      </c>
      <c r="J28" s="54">
        <v>0.85518345478023727</v>
      </c>
      <c r="K28" s="54">
        <v>0.8639254442274602</v>
      </c>
      <c r="L28" s="54">
        <v>0.88259779338749644</v>
      </c>
      <c r="M28" s="55">
        <v>0.88972444834778797</v>
      </c>
      <c r="N28" s="96">
        <f t="shared" si="4"/>
        <v>3.5505532343410584</v>
      </c>
    </row>
    <row r="29" spans="2:14" x14ac:dyDescent="0.25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2:14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123" t="s">
        <v>87</v>
      </c>
    </row>
  </sheetData>
  <mergeCells count="3">
    <mergeCell ref="C4:N4"/>
    <mergeCell ref="C13:N13"/>
    <mergeCell ref="C22:N22"/>
  </mergeCells>
  <hyperlinks>
    <hyperlink ref="A2" location="'Financial supplement&gt;&gt;&gt;'!A1" display="INDEX" xr:uid="{210AC70C-A478-436E-83A1-5BED5D59B424}"/>
  </hyperlinks>
  <pageMargins left="0.7" right="0.7" top="0.75" bottom="0.75" header="0.3" footer="0.3"/>
  <pageSetup paperSize="9" scale="66" orientation="landscape" r:id="rId1"/>
  <ignoredErrors>
    <ignoredError sqref="L11" formulaRange="1"/>
    <ignoredError sqref="N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V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9" width="11" style="5" customWidth="1"/>
    <col min="10" max="11" width="11" style="5" hidden="1" customWidth="1" outlineLevel="1"/>
    <col min="12" max="12" width="11" style="5" customWidth="1" collapsed="1"/>
    <col min="13" max="14" width="11" style="5" customWidth="1"/>
    <col min="15" max="15" width="3" style="1" customWidth="1"/>
    <col min="16" max="16384" width="10.85546875" style="5"/>
  </cols>
  <sheetData>
    <row r="1" spans="1:22" ht="16.5" customHeight="1" x14ac:dyDescent="0.2"/>
    <row r="2" spans="1:22" ht="18.75" customHeight="1" thickBot="1" x14ac:dyDescent="0.25">
      <c r="A2" s="90" t="s">
        <v>20</v>
      </c>
      <c r="B2" s="21" t="s">
        <v>30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117" t="s">
        <v>34</v>
      </c>
      <c r="Q2" s="21"/>
      <c r="R2" s="21"/>
      <c r="S2" s="21"/>
      <c r="T2" s="21"/>
      <c r="U2" s="21"/>
      <c r="V2" s="21"/>
    </row>
    <row r="4" spans="1:22" s="4" customFormat="1" ht="15.75" thickBot="1" x14ac:dyDescent="0.3">
      <c r="B4" s="35"/>
      <c r="C4" s="56" t="s">
        <v>6</v>
      </c>
      <c r="D4" s="56" t="s">
        <v>16</v>
      </c>
      <c r="E4" s="56" t="s">
        <v>3</v>
      </c>
      <c r="F4" s="56" t="s">
        <v>17</v>
      </c>
      <c r="G4" s="56" t="s">
        <v>14</v>
      </c>
      <c r="H4" s="56" t="s">
        <v>4</v>
      </c>
      <c r="I4" s="56" t="s">
        <v>132</v>
      </c>
      <c r="J4" s="56" t="s">
        <v>15</v>
      </c>
      <c r="K4" s="56" t="s">
        <v>13</v>
      </c>
      <c r="L4" s="56" t="s">
        <v>19</v>
      </c>
      <c r="M4" s="58" t="s">
        <v>136</v>
      </c>
      <c r="N4" s="45" t="s">
        <v>0</v>
      </c>
      <c r="O4" s="1"/>
      <c r="P4" s="56" t="s">
        <v>64</v>
      </c>
      <c r="Q4" s="56" t="s">
        <v>65</v>
      </c>
      <c r="R4" s="56" t="s">
        <v>133</v>
      </c>
      <c r="S4" s="56" t="s">
        <v>134</v>
      </c>
      <c r="T4" s="56" t="s">
        <v>66</v>
      </c>
      <c r="U4" s="56" t="s">
        <v>67</v>
      </c>
      <c r="V4" s="58" t="s">
        <v>137</v>
      </c>
    </row>
    <row r="5" spans="1:22" s="4" customFormat="1" x14ac:dyDescent="0.25">
      <c r="B5" s="124" t="s">
        <v>68</v>
      </c>
      <c r="C5" s="102">
        <v>741178.03300000005</v>
      </c>
      <c r="D5" s="102">
        <v>573625.1777</v>
      </c>
      <c r="E5" s="102">
        <v>761158.29799999995</v>
      </c>
      <c r="F5" s="102">
        <v>377490.58505000005</v>
      </c>
      <c r="G5" s="102">
        <v>567177.75003999996</v>
      </c>
      <c r="H5" s="102">
        <v>754656.36600000004</v>
      </c>
      <c r="I5" s="102">
        <v>178953</v>
      </c>
      <c r="J5" s="102">
        <v>373700.42211000004</v>
      </c>
      <c r="K5" s="102">
        <v>563300.91514000006</v>
      </c>
      <c r="L5" s="102">
        <v>748100</v>
      </c>
      <c r="M5" s="104">
        <v>181928</v>
      </c>
      <c r="N5" s="41">
        <f>+M5/I5-1</f>
        <v>1.662447681793533E-2</v>
      </c>
      <c r="O5" s="1"/>
      <c r="P5" s="102">
        <f>G5-F5</f>
        <v>189687.1649899999</v>
      </c>
      <c r="Q5" s="102">
        <f>H5-G5</f>
        <v>187478.61596000008</v>
      </c>
      <c r="R5" s="102">
        <f t="shared" ref="R5:R8" si="0">I5</f>
        <v>178953</v>
      </c>
      <c r="S5" s="102">
        <f>J5-I5</f>
        <v>194747.42211000004</v>
      </c>
      <c r="T5" s="102">
        <f>K5-J5</f>
        <v>189600.49303000001</v>
      </c>
      <c r="U5" s="102">
        <f>L5-K5</f>
        <v>184799.08485999994</v>
      </c>
      <c r="V5" s="104">
        <f t="shared" ref="V5:V8" si="1">M5</f>
        <v>181928</v>
      </c>
    </row>
    <row r="6" spans="1:22" s="4" customFormat="1" x14ac:dyDescent="0.25">
      <c r="B6" s="124" t="s">
        <v>69</v>
      </c>
      <c r="C6" s="102">
        <v>718521</v>
      </c>
      <c r="D6" s="103">
        <v>558247.43156999955</v>
      </c>
      <c r="E6" s="102">
        <v>748309</v>
      </c>
      <c r="F6" s="102">
        <v>374155</v>
      </c>
      <c r="G6" s="102">
        <v>562589.77768000006</v>
      </c>
      <c r="H6" s="102">
        <v>752605</v>
      </c>
      <c r="I6" s="102">
        <v>184280</v>
      </c>
      <c r="J6" s="102">
        <v>370806</v>
      </c>
      <c r="K6" s="102">
        <v>559350.34435000038</v>
      </c>
      <c r="L6" s="102">
        <v>747292</v>
      </c>
      <c r="M6" s="104">
        <v>183489</v>
      </c>
      <c r="N6" s="41">
        <f t="shared" ref="N6:N10" si="2">+M6/I6-1</f>
        <v>-4.2923811591056849E-3</v>
      </c>
      <c r="O6" s="1"/>
      <c r="P6" s="102">
        <f>G6-F6</f>
        <v>188434.77768000006</v>
      </c>
      <c r="Q6" s="102">
        <f t="shared" ref="Q6:Q9" si="3">H6-G6</f>
        <v>190015.22231999994</v>
      </c>
      <c r="R6" s="102">
        <f t="shared" si="0"/>
        <v>184280</v>
      </c>
      <c r="S6" s="102">
        <f t="shared" ref="S6:T9" si="4">J6-I6</f>
        <v>186526</v>
      </c>
      <c r="T6" s="102">
        <f t="shared" si="4"/>
        <v>188544.34435000038</v>
      </c>
      <c r="U6" s="102">
        <f t="shared" ref="U6:U9" si="5">L6-K6</f>
        <v>187941.65564999962</v>
      </c>
      <c r="V6" s="104">
        <f t="shared" si="1"/>
        <v>183489</v>
      </c>
    </row>
    <row r="7" spans="1:22" s="4" customFormat="1" x14ac:dyDescent="0.25">
      <c r="B7" s="122" t="s">
        <v>70</v>
      </c>
      <c r="C7" s="59">
        <v>-476725</v>
      </c>
      <c r="D7" s="59">
        <v>-389426.50000539894</v>
      </c>
      <c r="E7" s="59">
        <v>-519666.00000000006</v>
      </c>
      <c r="F7" s="59">
        <v>-245650</v>
      </c>
      <c r="G7" s="59">
        <v>-349852.0986038135</v>
      </c>
      <c r="H7" s="59">
        <v>-465382</v>
      </c>
      <c r="I7" s="59">
        <v>-120874</v>
      </c>
      <c r="J7" s="59">
        <v>-244740</v>
      </c>
      <c r="K7" s="59">
        <v>-374662.88629253145</v>
      </c>
      <c r="L7" s="59">
        <v>-518866</v>
      </c>
      <c r="M7" s="99">
        <v>-128817</v>
      </c>
      <c r="N7" s="42">
        <f t="shared" si="2"/>
        <v>6.571305657130555E-2</v>
      </c>
      <c r="O7" s="1"/>
      <c r="P7" s="59">
        <f>G7-F7</f>
        <v>-104202.0986038135</v>
      </c>
      <c r="Q7" s="59">
        <f t="shared" si="3"/>
        <v>-115529.9013961865</v>
      </c>
      <c r="R7" s="59">
        <f t="shared" si="0"/>
        <v>-120874</v>
      </c>
      <c r="S7" s="59">
        <f t="shared" si="4"/>
        <v>-123866</v>
      </c>
      <c r="T7" s="59">
        <f t="shared" si="4"/>
        <v>-129922.88629253145</v>
      </c>
      <c r="U7" s="59">
        <f t="shared" si="5"/>
        <v>-144203.11370746855</v>
      </c>
      <c r="V7" s="99">
        <f t="shared" si="1"/>
        <v>-128817</v>
      </c>
    </row>
    <row r="8" spans="1:22" s="4" customFormat="1" x14ac:dyDescent="0.25">
      <c r="B8" s="122" t="s">
        <v>71</v>
      </c>
      <c r="C8" s="59">
        <v>-154001</v>
      </c>
      <c r="D8" s="59">
        <v>-115432.9615953328</v>
      </c>
      <c r="E8" s="59">
        <v>-152748</v>
      </c>
      <c r="F8" s="59">
        <v>-79437</v>
      </c>
      <c r="G8" s="59">
        <v>-118909.1742417893</v>
      </c>
      <c r="H8" s="59">
        <v>-159468</v>
      </c>
      <c r="I8" s="59">
        <v>-36685</v>
      </c>
      <c r="J8" s="59">
        <v>-75358</v>
      </c>
      <c r="K8" s="59">
        <v>-114751.67075482252</v>
      </c>
      <c r="L8" s="59">
        <v>-154310</v>
      </c>
      <c r="M8" s="99">
        <v>-35791</v>
      </c>
      <c r="N8" s="42">
        <f t="shared" si="2"/>
        <v>-2.4369633365135646E-2</v>
      </c>
      <c r="O8" s="1"/>
      <c r="P8" s="59">
        <f>G8-F8</f>
        <v>-39472.174241789297</v>
      </c>
      <c r="Q8" s="59">
        <f t="shared" si="3"/>
        <v>-40558.825758210703</v>
      </c>
      <c r="R8" s="59">
        <f t="shared" si="0"/>
        <v>-36685</v>
      </c>
      <c r="S8" s="59">
        <f t="shared" si="4"/>
        <v>-38673</v>
      </c>
      <c r="T8" s="59">
        <f t="shared" si="4"/>
        <v>-39393.670754822524</v>
      </c>
      <c r="U8" s="59">
        <f t="shared" si="5"/>
        <v>-39558.329245177476</v>
      </c>
      <c r="V8" s="99">
        <f t="shared" si="1"/>
        <v>-35791</v>
      </c>
    </row>
    <row r="9" spans="1:22" s="4" customFormat="1" ht="15.75" thickBot="1" x14ac:dyDescent="0.3">
      <c r="B9" s="122" t="s">
        <v>72</v>
      </c>
      <c r="C9" s="59">
        <v>27179</v>
      </c>
      <c r="D9" s="59">
        <v>23881.10989</v>
      </c>
      <c r="E9" s="59">
        <v>30638</v>
      </c>
      <c r="F9" s="59">
        <v>9281</v>
      </c>
      <c r="G9" s="59">
        <v>14965.983510000002</v>
      </c>
      <c r="H9" s="59">
        <v>18726</v>
      </c>
      <c r="I9" s="59">
        <v>4390</v>
      </c>
      <c r="J9" s="59">
        <v>9882</v>
      </c>
      <c r="K9" s="59">
        <v>15696.075209999997</v>
      </c>
      <c r="L9" s="59">
        <v>22877</v>
      </c>
      <c r="M9" s="99">
        <v>2550</v>
      </c>
      <c r="N9" s="42">
        <f t="shared" si="2"/>
        <v>-0.4191343963553531</v>
      </c>
      <c r="O9" s="1"/>
      <c r="P9" s="59">
        <f>G9-F9</f>
        <v>5684.9835100000018</v>
      </c>
      <c r="Q9" s="59">
        <f t="shared" si="3"/>
        <v>3760.0164899999982</v>
      </c>
      <c r="R9" s="59">
        <f>I9</f>
        <v>4390</v>
      </c>
      <c r="S9" s="59">
        <f t="shared" si="4"/>
        <v>5492</v>
      </c>
      <c r="T9" s="59">
        <f t="shared" si="4"/>
        <v>5814.0752099999972</v>
      </c>
      <c r="U9" s="59">
        <f t="shared" si="5"/>
        <v>7180.9247900000028</v>
      </c>
      <c r="V9" s="99">
        <f>M9</f>
        <v>2550</v>
      </c>
    </row>
    <row r="10" spans="1:22" s="4" customFormat="1" ht="15.75" thickBot="1" x14ac:dyDescent="0.3">
      <c r="B10" s="126" t="s">
        <v>73</v>
      </c>
      <c r="C10" s="100">
        <f>SUM(C6:C9)</f>
        <v>114974</v>
      </c>
      <c r="D10" s="100">
        <f>SUM(D6:D9)</f>
        <v>77269.079859267804</v>
      </c>
      <c r="E10" s="100">
        <f>SUM(E6:E9)</f>
        <v>106532.99999999994</v>
      </c>
      <c r="F10" s="100">
        <f>SUM(F6:F9)</f>
        <v>58349</v>
      </c>
      <c r="G10" s="100">
        <f>SUM(G6:G9)</f>
        <v>108794.48834439726</v>
      </c>
      <c r="H10" s="100">
        <f t="shared" ref="H10:I10" si="6">SUM(H6:H9)</f>
        <v>146481</v>
      </c>
      <c r="I10" s="100">
        <f t="shared" si="6"/>
        <v>31111</v>
      </c>
      <c r="J10" s="100">
        <f>SUM(J6:J9)</f>
        <v>60590</v>
      </c>
      <c r="K10" s="100">
        <f>SUM(K6:K9)</f>
        <v>85631.862512646403</v>
      </c>
      <c r="L10" s="100">
        <f>SUM(L6:L9)</f>
        <v>96993</v>
      </c>
      <c r="M10" s="101">
        <f>SUM(M6:M9)</f>
        <v>21431</v>
      </c>
      <c r="N10" s="47">
        <f t="shared" si="2"/>
        <v>-0.31114396837131564</v>
      </c>
      <c r="O10" s="1"/>
      <c r="P10" s="100">
        <f t="shared" ref="P10:V10" si="7">SUM(P6:P9)</f>
        <v>50445.488344397265</v>
      </c>
      <c r="Q10" s="100">
        <f t="shared" si="7"/>
        <v>37686.511655602735</v>
      </c>
      <c r="R10" s="100">
        <f t="shared" si="7"/>
        <v>31111</v>
      </c>
      <c r="S10" s="100">
        <f>SUM(S6:S9)</f>
        <v>29479</v>
      </c>
      <c r="T10" s="100">
        <f>SUM(T6:T9)</f>
        <v>25041.862512646403</v>
      </c>
      <c r="U10" s="100">
        <f t="shared" si="7"/>
        <v>11361.137487353595</v>
      </c>
      <c r="V10" s="101">
        <f t="shared" si="7"/>
        <v>21431</v>
      </c>
    </row>
    <row r="11" spans="1:22" s="4" customFormat="1" ht="9" customHeight="1" x14ac:dyDescent="0.25">
      <c r="B11" s="12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  <c r="O11" s="1"/>
    </row>
    <row r="12" spans="1:22" s="4" customFormat="1" x14ac:dyDescent="0.25">
      <c r="B12" s="129"/>
      <c r="C12" s="61"/>
      <c r="D12" s="61"/>
      <c r="E12" s="61"/>
      <c r="F12" s="61"/>
      <c r="G12" s="61"/>
      <c r="H12" s="61"/>
      <c r="I12" s="136"/>
      <c r="J12" s="61"/>
      <c r="K12" s="61"/>
      <c r="L12" s="61"/>
      <c r="M12" s="61"/>
      <c r="N12" s="123" t="s">
        <v>63</v>
      </c>
      <c r="O12" s="1"/>
      <c r="V12" s="123" t="s">
        <v>63</v>
      </c>
    </row>
    <row r="13" spans="1:22" s="4" customFormat="1" x14ac:dyDescent="0.25">
      <c r="B13" s="129"/>
      <c r="C13" s="61"/>
      <c r="D13" s="61"/>
      <c r="E13" s="61"/>
      <c r="F13" s="61"/>
      <c r="G13" s="61"/>
      <c r="H13" s="61"/>
      <c r="I13" s="136"/>
      <c r="J13" s="61"/>
      <c r="K13" s="61"/>
      <c r="L13" s="61"/>
      <c r="M13" s="61"/>
      <c r="N13" s="61"/>
      <c r="O13" s="1"/>
    </row>
    <row r="14" spans="1:22" s="4" customFormat="1" x14ac:dyDescent="0.25">
      <c r="B14" s="124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  <c r="O14" s="1"/>
    </row>
    <row r="15" spans="1:22" s="4" customFormat="1" ht="15.75" thickBot="1" x14ac:dyDescent="0.3">
      <c r="B15" s="128"/>
      <c r="C15" s="56" t="s">
        <v>6</v>
      </c>
      <c r="D15" s="56" t="s">
        <v>16</v>
      </c>
      <c r="E15" s="56" t="s">
        <v>3</v>
      </c>
      <c r="F15" s="56" t="s">
        <v>17</v>
      </c>
      <c r="G15" s="56" t="s">
        <v>14</v>
      </c>
      <c r="H15" s="56" t="s">
        <v>4</v>
      </c>
      <c r="I15" s="56" t="s">
        <v>132</v>
      </c>
      <c r="J15" s="56" t="s">
        <v>15</v>
      </c>
      <c r="K15" s="56" t="s">
        <v>13</v>
      </c>
      <c r="L15" s="57" t="s">
        <v>19</v>
      </c>
      <c r="M15" s="58" t="s">
        <v>136</v>
      </c>
      <c r="N15" s="46" t="s">
        <v>2</v>
      </c>
      <c r="O15" s="1"/>
      <c r="P15" s="56" t="s">
        <v>64</v>
      </c>
      <c r="Q15" s="56" t="s">
        <v>65</v>
      </c>
      <c r="R15" s="56" t="s">
        <v>133</v>
      </c>
      <c r="S15" s="56" t="s">
        <v>134</v>
      </c>
      <c r="T15" s="56" t="s">
        <v>66</v>
      </c>
      <c r="U15" s="56" t="s">
        <v>67</v>
      </c>
      <c r="V15" s="58" t="s">
        <v>137</v>
      </c>
    </row>
    <row r="16" spans="1:22" s="4" customFormat="1" x14ac:dyDescent="0.25">
      <c r="B16" s="122" t="s">
        <v>82</v>
      </c>
      <c r="C16" s="60">
        <f>-C7/C6</f>
        <v>0.66348095601937873</v>
      </c>
      <c r="D16" s="60">
        <f t="shared" ref="D16" si="8">-D7/D6</f>
        <v>0.69758762509696937</v>
      </c>
      <c r="E16" s="60">
        <f>-E7/E6</f>
        <v>0.69445376174815487</v>
      </c>
      <c r="F16" s="60">
        <f>-F7/F6</f>
        <v>0.65654608384225788</v>
      </c>
      <c r="G16" s="60">
        <f>-G7/G6</f>
        <v>0.62186003458244254</v>
      </c>
      <c r="H16" s="60">
        <f t="shared" ref="H16:I16" si="9">-H7/H6</f>
        <v>0.61836155752353494</v>
      </c>
      <c r="I16" s="60">
        <f t="shared" si="9"/>
        <v>0.65592576514000434</v>
      </c>
      <c r="J16" s="60">
        <f>-J7/J6</f>
        <v>0.66002168249704696</v>
      </c>
      <c r="K16" s="60">
        <f>-K7/K6</f>
        <v>0.66981792373420779</v>
      </c>
      <c r="L16" s="62">
        <f>-L7/L6</f>
        <v>0.6943283214593492</v>
      </c>
      <c r="M16" s="63">
        <f>-M7/M6</f>
        <v>0.70204208426663184</v>
      </c>
      <c r="N16" s="43">
        <f>(M16-I16)*100</f>
        <v>4.6116319126627499</v>
      </c>
      <c r="O16" s="1"/>
      <c r="P16" s="60">
        <f t="shared" ref="P16" si="10">-P7/P6</f>
        <v>0.55298761665306551</v>
      </c>
      <c r="Q16" s="60">
        <f t="shared" ref="Q16:S16" si="11">-Q7/Q6</f>
        <v>0.60800340091503535</v>
      </c>
      <c r="R16" s="60">
        <f t="shared" si="11"/>
        <v>0.65592576514000434</v>
      </c>
      <c r="S16" s="60">
        <f t="shared" si="11"/>
        <v>0.66406828002530482</v>
      </c>
      <c r="T16" s="60">
        <f>-T7/T6</f>
        <v>0.68908397512763253</v>
      </c>
      <c r="U16" s="60">
        <f t="shared" ref="U16:V16" si="12">-U7/U6</f>
        <v>0.7672759570449641</v>
      </c>
      <c r="V16" s="63">
        <f t="shared" si="12"/>
        <v>0.70204208426663184</v>
      </c>
    </row>
    <row r="17" spans="2:22" s="4" customFormat="1" ht="15.75" thickBot="1" x14ac:dyDescent="0.3">
      <c r="B17" s="122" t="s">
        <v>83</v>
      </c>
      <c r="C17" s="60">
        <f>-(C8+C9)/C6</f>
        <v>0.17650423578434032</v>
      </c>
      <c r="D17" s="60">
        <f t="shared" ref="D17" si="13">-(D8+D9)/D6</f>
        <v>0.16399869758084679</v>
      </c>
      <c r="E17" s="60">
        <f>-(E8+E9)/E6</f>
        <v>0.16318125266434053</v>
      </c>
      <c r="F17" s="60">
        <f>-(F8+F9)/F6</f>
        <v>0.18750517833518193</v>
      </c>
      <c r="G17" s="60">
        <f>-(G8+G9)/G6</f>
        <v>0.18475840631237345</v>
      </c>
      <c r="H17" s="60">
        <f t="shared" ref="H17:I17" si="14">-(H8+H9)/H6</f>
        <v>0.18700646421429568</v>
      </c>
      <c r="I17" s="60">
        <f t="shared" si="14"/>
        <v>0.17524962014326026</v>
      </c>
      <c r="J17" s="60">
        <f>-(J8+J9)/J6</f>
        <v>0.17657750953328694</v>
      </c>
      <c r="K17" s="60">
        <f>-(K8+K9)/K6</f>
        <v>0.17709043454676199</v>
      </c>
      <c r="L17" s="62">
        <f>-(L8+L9)/L6</f>
        <v>0.17587904058922083</v>
      </c>
      <c r="M17" s="63">
        <f>-(M8+M9)/M6</f>
        <v>0.18116072353111085</v>
      </c>
      <c r="N17" s="43">
        <f t="shared" ref="N17:N18" si="15">(M17-I17)*100</f>
        <v>0.59111033878505859</v>
      </c>
      <c r="O17" s="1"/>
      <c r="P17" s="60">
        <f t="shared" ref="P17" si="16">-(P8+P9)/P6</f>
        <v>0.1793044317390641</v>
      </c>
      <c r="Q17" s="60">
        <f t="shared" ref="Q17:S17" si="17">-(Q8+Q9)/Q6</f>
        <v>0.19366242777243786</v>
      </c>
      <c r="R17" s="60">
        <f t="shared" si="17"/>
        <v>0.17524962014326026</v>
      </c>
      <c r="S17" s="60">
        <f t="shared" si="17"/>
        <v>0.17788940951931634</v>
      </c>
      <c r="T17" s="60">
        <f>-(T8+T9)/T6</f>
        <v>0.17809919284817022</v>
      </c>
      <c r="U17" s="60">
        <f t="shared" ref="U17:V17" si="18">-(U8+U9)/U6</f>
        <v>0.1722737002778848</v>
      </c>
      <c r="V17" s="63">
        <f t="shared" si="18"/>
        <v>0.18116072353111085</v>
      </c>
    </row>
    <row r="18" spans="2:22" s="4" customFormat="1" ht="15.75" thickBot="1" x14ac:dyDescent="0.3">
      <c r="B18" s="126" t="s">
        <v>84</v>
      </c>
      <c r="C18" s="64">
        <f>-(C7+C8+C9)/C6</f>
        <v>0.839985191803719</v>
      </c>
      <c r="D18" s="64">
        <f t="shared" ref="D18" si="19">-(D7+D8+D9)/D6</f>
        <v>0.8615863226778161</v>
      </c>
      <c r="E18" s="64">
        <f>-(E7+E8+E9)/E6</f>
        <v>0.85763501441249534</v>
      </c>
      <c r="F18" s="64">
        <f>-(F7+F8+F9)/F6</f>
        <v>0.84405126217743986</v>
      </c>
      <c r="G18" s="64">
        <f>-(G7+G8+G9)/G6</f>
        <v>0.80661844089481605</v>
      </c>
      <c r="H18" s="64">
        <f t="shared" ref="H18:I18" si="20">-(H7+H8+H9)/H6</f>
        <v>0.80536802173783062</v>
      </c>
      <c r="I18" s="64">
        <f t="shared" si="20"/>
        <v>0.83117538528326462</v>
      </c>
      <c r="J18" s="64">
        <f>-(J7+J8+J9)/J6</f>
        <v>0.83659919203033395</v>
      </c>
      <c r="K18" s="64">
        <f>-(K7+K8+K9)/K6</f>
        <v>0.84690835828096978</v>
      </c>
      <c r="L18" s="65">
        <f>-(L7+L8+L9)/L6</f>
        <v>0.87020736204857008</v>
      </c>
      <c r="M18" s="66">
        <f>-(M7+M8+M9)/M6</f>
        <v>0.88320280779774263</v>
      </c>
      <c r="N18" s="48">
        <f t="shared" si="15"/>
        <v>5.2027422514478001</v>
      </c>
      <c r="O18" s="1"/>
      <c r="P18" s="64">
        <f t="shared" ref="P18" si="21">-(P7+P8+P9)/P6</f>
        <v>0.73229204839212969</v>
      </c>
      <c r="Q18" s="64">
        <f t="shared" ref="Q18:S18" si="22">-(Q7+Q8+Q9)/Q6</f>
        <v>0.80166582868747316</v>
      </c>
      <c r="R18" s="64">
        <f t="shared" si="22"/>
        <v>0.83117538528326462</v>
      </c>
      <c r="S18" s="64">
        <f t="shared" si="22"/>
        <v>0.84195768954462114</v>
      </c>
      <c r="T18" s="64">
        <f>-(T7+T8+T9)/T6</f>
        <v>0.86718316797580264</v>
      </c>
      <c r="U18" s="64">
        <f t="shared" ref="U18:V18" si="23">-(U7+U8+U9)/U6</f>
        <v>0.93954965732284901</v>
      </c>
      <c r="V18" s="66">
        <f t="shared" si="23"/>
        <v>0.88320280779774263</v>
      </c>
    </row>
    <row r="19" spans="2:22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59"/>
    </row>
    <row r="20" spans="2:22" s="4" customFormat="1" x14ac:dyDescent="0.25">
      <c r="N20" s="6"/>
      <c r="O20" s="61"/>
    </row>
  </sheetData>
  <hyperlinks>
    <hyperlink ref="A2" location="'Financial supplement&gt;&gt;&gt;'!A1" display="INDEX" xr:uid="{2CD9760B-0D7B-4425-94DB-6ED5B63BBC8A}"/>
  </hyperlinks>
  <pageMargins left="0.7" right="0.7" top="0.75" bottom="0.75" header="0.3" footer="0.3"/>
  <pageSetup paperSize="9" scale="71" orientation="landscape" r:id="rId1"/>
  <colBreaks count="1" manualBreakCount="1">
    <brk id="21" max="1048575" man="1"/>
  </colBreaks>
  <ignoredErrors>
    <ignoredError sqref="E10 H10 C10 L10:M10 I10:K10" formulaRange="1"/>
    <ignoredError sqref="R5:R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V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9" width="11" style="5" customWidth="1"/>
    <col min="10" max="11" width="11" style="5" hidden="1" customWidth="1" outlineLevel="1"/>
    <col min="12" max="12" width="11" style="5" customWidth="1" collapsed="1"/>
    <col min="13" max="14" width="11" style="5" customWidth="1"/>
    <col min="15" max="15" width="3" style="1" customWidth="1"/>
    <col min="16" max="16384" width="10.85546875" style="5"/>
  </cols>
  <sheetData>
    <row r="1" spans="1:22" ht="16.5" customHeight="1" x14ac:dyDescent="0.2"/>
    <row r="2" spans="1:22" ht="18.75" customHeight="1" thickBot="1" x14ac:dyDescent="0.25">
      <c r="A2" s="90" t="s">
        <v>20</v>
      </c>
      <c r="B2" s="21" t="s">
        <v>31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117" t="s">
        <v>34</v>
      </c>
      <c r="Q2" s="21"/>
      <c r="R2" s="21"/>
      <c r="S2" s="21"/>
      <c r="T2" s="21"/>
      <c r="U2" s="21"/>
      <c r="V2" s="21"/>
    </row>
    <row r="4" spans="1:22" s="4" customFormat="1" ht="15.75" thickBot="1" x14ac:dyDescent="0.3">
      <c r="B4" s="35"/>
      <c r="C4" s="56" t="s">
        <v>6</v>
      </c>
      <c r="D4" s="56" t="s">
        <v>16</v>
      </c>
      <c r="E4" s="56" t="s">
        <v>3</v>
      </c>
      <c r="F4" s="56" t="s">
        <v>17</v>
      </c>
      <c r="G4" s="56" t="s">
        <v>14</v>
      </c>
      <c r="H4" s="56" t="s">
        <v>4</v>
      </c>
      <c r="I4" s="56" t="s">
        <v>132</v>
      </c>
      <c r="J4" s="56" t="s">
        <v>15</v>
      </c>
      <c r="K4" s="56" t="s">
        <v>13</v>
      </c>
      <c r="L4" s="57" t="s">
        <v>19</v>
      </c>
      <c r="M4" s="58" t="s">
        <v>136</v>
      </c>
      <c r="N4" s="45" t="s">
        <v>0</v>
      </c>
      <c r="O4" s="1"/>
      <c r="P4" s="56" t="s">
        <v>64</v>
      </c>
      <c r="Q4" s="56" t="s">
        <v>65</v>
      </c>
      <c r="R4" s="56" t="s">
        <v>133</v>
      </c>
      <c r="S4" s="56" t="s">
        <v>134</v>
      </c>
      <c r="T4" s="56" t="s">
        <v>66</v>
      </c>
      <c r="U4" s="56" t="s">
        <v>67</v>
      </c>
      <c r="V4" s="58" t="s">
        <v>137</v>
      </c>
    </row>
    <row r="5" spans="1:22" s="4" customFormat="1" x14ac:dyDescent="0.25">
      <c r="B5" s="124" t="s">
        <v>68</v>
      </c>
      <c r="C5" s="102">
        <v>100691.076</v>
      </c>
      <c r="D5" s="102">
        <v>82446.400180000026</v>
      </c>
      <c r="E5" s="102">
        <v>111356.549</v>
      </c>
      <c r="F5" s="102">
        <v>59705.956969999999</v>
      </c>
      <c r="G5" s="102">
        <v>89543.79578</v>
      </c>
      <c r="H5" s="102">
        <v>120653.628</v>
      </c>
      <c r="I5" s="102">
        <v>31764</v>
      </c>
      <c r="J5" s="102">
        <v>64779.205790000007</v>
      </c>
      <c r="K5" s="102">
        <v>97044.810309999986</v>
      </c>
      <c r="L5" s="103">
        <v>131243</v>
      </c>
      <c r="M5" s="104">
        <v>35256</v>
      </c>
      <c r="N5" s="41">
        <f>+M5/I5-1</f>
        <v>0.10993577635058549</v>
      </c>
      <c r="O5" s="1"/>
      <c r="P5" s="102">
        <f>G5-F5</f>
        <v>29837.838810000001</v>
      </c>
      <c r="Q5" s="102">
        <f>H5-G5</f>
        <v>31109.832219999997</v>
      </c>
      <c r="R5" s="102">
        <f>I5</f>
        <v>31764</v>
      </c>
      <c r="S5" s="102">
        <f t="shared" ref="S5:S9" si="0">J5-I5</f>
        <v>33015.205790000007</v>
      </c>
      <c r="T5" s="102">
        <f>K5-J5</f>
        <v>32265.604519999979</v>
      </c>
      <c r="U5" s="103">
        <f t="shared" ref="U5:U9" si="1">L5-K5</f>
        <v>34198.189690000014</v>
      </c>
      <c r="V5" s="104">
        <f>M5</f>
        <v>35256</v>
      </c>
    </row>
    <row r="6" spans="1:22" s="4" customFormat="1" x14ac:dyDescent="0.25">
      <c r="B6" s="124" t="s">
        <v>69</v>
      </c>
      <c r="C6" s="102">
        <v>92406</v>
      </c>
      <c r="D6" s="102">
        <v>76020.518519999998</v>
      </c>
      <c r="E6" s="102">
        <v>102660</v>
      </c>
      <c r="F6" s="102">
        <v>54284</v>
      </c>
      <c r="G6" s="102">
        <v>82565.065399999949</v>
      </c>
      <c r="H6" s="102">
        <v>111546</v>
      </c>
      <c r="I6" s="102">
        <v>28726</v>
      </c>
      <c r="J6" s="102">
        <v>58166</v>
      </c>
      <c r="K6" s="102">
        <v>88288.386050000001</v>
      </c>
      <c r="L6" s="103">
        <v>119067</v>
      </c>
      <c r="M6" s="104">
        <v>30892</v>
      </c>
      <c r="N6" s="41">
        <f t="shared" ref="N6:N10" si="2">+M6/I6-1</f>
        <v>7.5402074775464678E-2</v>
      </c>
      <c r="O6" s="1"/>
      <c r="P6" s="102">
        <f>G6-F6</f>
        <v>28281.065399999949</v>
      </c>
      <c r="Q6" s="102">
        <f t="shared" ref="Q6:Q9" si="3">H6-G6</f>
        <v>28980.934600000051</v>
      </c>
      <c r="R6" s="102">
        <f t="shared" ref="R6:R9" si="4">I6</f>
        <v>28726</v>
      </c>
      <c r="S6" s="102">
        <f t="shared" si="0"/>
        <v>29440</v>
      </c>
      <c r="T6" s="102">
        <f>K6-J6</f>
        <v>30122.386050000001</v>
      </c>
      <c r="U6" s="103">
        <f t="shared" si="1"/>
        <v>30778.613949999999</v>
      </c>
      <c r="V6" s="104">
        <f t="shared" ref="V6:V9" si="5">M6</f>
        <v>30892</v>
      </c>
    </row>
    <row r="7" spans="1:22" s="4" customFormat="1" x14ac:dyDescent="0.25">
      <c r="B7" s="122" t="s">
        <v>70</v>
      </c>
      <c r="C7" s="59">
        <v>-48215</v>
      </c>
      <c r="D7" s="59">
        <v>-39724.096594049995</v>
      </c>
      <c r="E7" s="59">
        <v>-53137</v>
      </c>
      <c r="F7" s="59">
        <v>-28390</v>
      </c>
      <c r="G7" s="59">
        <v>-45994.703035557985</v>
      </c>
      <c r="H7" s="59">
        <v>-63678</v>
      </c>
      <c r="I7" s="59">
        <v>-18299</v>
      </c>
      <c r="J7" s="59">
        <v>-33435</v>
      </c>
      <c r="K7" s="59">
        <v>-49774.005104250042</v>
      </c>
      <c r="L7" s="105">
        <v>-66003</v>
      </c>
      <c r="M7" s="99">
        <v>-18499</v>
      </c>
      <c r="N7" s="42">
        <f t="shared" si="2"/>
        <v>1.0929558992294641E-2</v>
      </c>
      <c r="O7" s="1"/>
      <c r="P7" s="59">
        <f>G7-F7</f>
        <v>-17604.703035557985</v>
      </c>
      <c r="Q7" s="59">
        <f t="shared" si="3"/>
        <v>-17683.296964442015</v>
      </c>
      <c r="R7" s="59">
        <f t="shared" si="4"/>
        <v>-18299</v>
      </c>
      <c r="S7" s="59">
        <f t="shared" si="0"/>
        <v>-15136</v>
      </c>
      <c r="T7" s="59">
        <f>K7-J7</f>
        <v>-16339.005104250042</v>
      </c>
      <c r="U7" s="105">
        <f t="shared" si="1"/>
        <v>-16228.994895749958</v>
      </c>
      <c r="V7" s="99">
        <f t="shared" si="5"/>
        <v>-18499</v>
      </c>
    </row>
    <row r="8" spans="1:22" s="4" customFormat="1" x14ac:dyDescent="0.25">
      <c r="B8" s="122" t="s">
        <v>71</v>
      </c>
      <c r="C8" s="59">
        <v>-35037</v>
      </c>
      <c r="D8" s="59">
        <v>-27774.558025313498</v>
      </c>
      <c r="E8" s="59">
        <v>-37209</v>
      </c>
      <c r="F8" s="59">
        <v>-19678</v>
      </c>
      <c r="G8" s="59">
        <v>-30927.286957193995</v>
      </c>
      <c r="H8" s="59">
        <v>-40873</v>
      </c>
      <c r="I8" s="59">
        <v>-9867</v>
      </c>
      <c r="J8" s="59">
        <v>-19550</v>
      </c>
      <c r="K8" s="59">
        <v>-29832.20227503881</v>
      </c>
      <c r="L8" s="105">
        <v>-39888</v>
      </c>
      <c r="M8" s="99">
        <v>-9994</v>
      </c>
      <c r="N8" s="42">
        <f t="shared" si="2"/>
        <v>1.287118678423016E-2</v>
      </c>
      <c r="O8" s="1"/>
      <c r="P8" s="59">
        <f>G8-F8</f>
        <v>-11249.286957193995</v>
      </c>
      <c r="Q8" s="59">
        <f t="shared" si="3"/>
        <v>-9945.7130428060045</v>
      </c>
      <c r="R8" s="59">
        <f t="shared" si="4"/>
        <v>-9867</v>
      </c>
      <c r="S8" s="59">
        <f t="shared" si="0"/>
        <v>-9683</v>
      </c>
      <c r="T8" s="59">
        <f>K8-J8</f>
        <v>-10282.20227503881</v>
      </c>
      <c r="U8" s="105">
        <f t="shared" si="1"/>
        <v>-10055.79772496119</v>
      </c>
      <c r="V8" s="99">
        <f t="shared" si="5"/>
        <v>-9994</v>
      </c>
    </row>
    <row r="9" spans="1:22" s="4" customFormat="1" ht="15.75" thickBot="1" x14ac:dyDescent="0.3">
      <c r="B9" s="122" t="s">
        <v>72</v>
      </c>
      <c r="C9" s="59">
        <v>-460</v>
      </c>
      <c r="D9" s="59">
        <v>102.78219999999999</v>
      </c>
      <c r="E9" s="59">
        <v>33</v>
      </c>
      <c r="F9" s="59">
        <v>-120</v>
      </c>
      <c r="G9" s="59">
        <v>-215.857</v>
      </c>
      <c r="H9" s="59">
        <v>-311</v>
      </c>
      <c r="I9" s="59">
        <v>-60</v>
      </c>
      <c r="J9" s="59">
        <v>-91</v>
      </c>
      <c r="K9" s="59">
        <v>-91.850300000000004</v>
      </c>
      <c r="L9" s="105">
        <v>-5</v>
      </c>
      <c r="M9" s="99">
        <v>-61</v>
      </c>
      <c r="N9" s="42">
        <f t="shared" si="2"/>
        <v>1.6666666666666607E-2</v>
      </c>
      <c r="O9" s="1"/>
      <c r="P9" s="59">
        <f>G9-F9</f>
        <v>-95.856999999999999</v>
      </c>
      <c r="Q9" s="59">
        <f t="shared" si="3"/>
        <v>-95.143000000000001</v>
      </c>
      <c r="R9" s="59">
        <f t="shared" si="4"/>
        <v>-60</v>
      </c>
      <c r="S9" s="59">
        <f t="shared" si="0"/>
        <v>-31</v>
      </c>
      <c r="T9" s="59">
        <f>K9-J9</f>
        <v>-0.85030000000000427</v>
      </c>
      <c r="U9" s="105">
        <f t="shared" si="1"/>
        <v>86.850300000000004</v>
      </c>
      <c r="V9" s="99">
        <f t="shared" si="5"/>
        <v>-61</v>
      </c>
    </row>
    <row r="10" spans="1:22" s="4" customFormat="1" ht="15.75" thickBot="1" x14ac:dyDescent="0.3">
      <c r="B10" s="126" t="s">
        <v>73</v>
      </c>
      <c r="C10" s="100">
        <f>SUM(C6:C9)</f>
        <v>8694</v>
      </c>
      <c r="D10" s="100">
        <f>SUM(D6:D9)</f>
        <v>8624.6461006365043</v>
      </c>
      <c r="E10" s="100">
        <f>SUM(E6:E9)</f>
        <v>12347</v>
      </c>
      <c r="F10" s="100">
        <f t="shared" ref="F10:G10" si="6">SUM(F6:F9)</f>
        <v>6096</v>
      </c>
      <c r="G10" s="100">
        <f t="shared" si="6"/>
        <v>5427.2184072479686</v>
      </c>
      <c r="H10" s="100">
        <f t="shared" ref="H10:M10" si="7">SUM(H6:H9)</f>
        <v>6684</v>
      </c>
      <c r="I10" s="100">
        <f t="shared" si="7"/>
        <v>500</v>
      </c>
      <c r="J10" s="100">
        <f t="shared" si="7"/>
        <v>5090</v>
      </c>
      <c r="K10" s="100">
        <f t="shared" si="7"/>
        <v>8590.3283707111495</v>
      </c>
      <c r="L10" s="106">
        <f t="shared" si="7"/>
        <v>13171</v>
      </c>
      <c r="M10" s="101">
        <f t="shared" si="7"/>
        <v>2338</v>
      </c>
      <c r="N10" s="47">
        <f t="shared" si="2"/>
        <v>3.6760000000000002</v>
      </c>
      <c r="O10" s="1"/>
      <c r="P10" s="100">
        <f t="shared" ref="P10:V10" si="8">SUM(P6:P9)</f>
        <v>-668.78159275203143</v>
      </c>
      <c r="Q10" s="100">
        <f t="shared" si="8"/>
        <v>1256.7815927520314</v>
      </c>
      <c r="R10" s="100">
        <f t="shared" si="8"/>
        <v>500</v>
      </c>
      <c r="S10" s="100">
        <f t="shared" si="8"/>
        <v>4590</v>
      </c>
      <c r="T10" s="100">
        <f>SUM(T6:T9)</f>
        <v>3500.3283707111495</v>
      </c>
      <c r="U10" s="106">
        <f t="shared" si="8"/>
        <v>4580.6716292888505</v>
      </c>
      <c r="V10" s="101">
        <f t="shared" si="8"/>
        <v>2338</v>
      </c>
    </row>
    <row r="11" spans="1:22" s="4" customFormat="1" ht="9" customHeight="1" x14ac:dyDescent="0.25">
      <c r="B11" s="12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  <c r="O11" s="1"/>
      <c r="P11" s="59"/>
      <c r="Q11" s="59"/>
      <c r="R11" s="59"/>
      <c r="S11" s="59"/>
      <c r="T11" s="59"/>
      <c r="U11" s="59"/>
    </row>
    <row r="12" spans="1:22" s="4" customFormat="1" x14ac:dyDescent="0.25">
      <c r="B12" s="129"/>
      <c r="C12" s="61"/>
      <c r="D12" s="61"/>
      <c r="E12" s="61"/>
      <c r="F12" s="61"/>
      <c r="G12" s="61"/>
      <c r="H12" s="61"/>
      <c r="I12" s="136"/>
      <c r="J12" s="61"/>
      <c r="K12" s="61"/>
      <c r="L12" s="61"/>
      <c r="M12" s="61"/>
      <c r="N12" s="123" t="s">
        <v>63</v>
      </c>
      <c r="O12" s="1"/>
      <c r="P12" s="61"/>
      <c r="Q12" s="61"/>
      <c r="R12" s="136"/>
      <c r="S12" s="136"/>
      <c r="T12" s="136"/>
      <c r="U12" s="61"/>
      <c r="V12" s="139" t="s">
        <v>63</v>
      </c>
    </row>
    <row r="13" spans="1:22" s="4" customFormat="1" x14ac:dyDescent="0.25">
      <c r="B13" s="129"/>
      <c r="C13" s="61"/>
      <c r="D13" s="61"/>
      <c r="E13" s="61"/>
      <c r="F13" s="61"/>
      <c r="G13" s="61"/>
      <c r="H13" s="61"/>
      <c r="I13" s="136"/>
      <c r="J13" s="61"/>
      <c r="K13" s="61"/>
      <c r="L13" s="61"/>
      <c r="M13" s="61"/>
      <c r="N13" s="61"/>
      <c r="O13" s="1"/>
      <c r="P13" s="61"/>
      <c r="Q13" s="61"/>
      <c r="R13" s="136"/>
      <c r="S13" s="136"/>
      <c r="T13" s="136"/>
      <c r="U13" s="61"/>
    </row>
    <row r="14" spans="1:22" s="4" customFormat="1" x14ac:dyDescent="0.25">
      <c r="B14" s="124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  <c r="O14" s="1"/>
      <c r="P14" s="59"/>
      <c r="Q14" s="59"/>
      <c r="R14" s="59"/>
      <c r="S14" s="59"/>
      <c r="T14" s="59"/>
      <c r="U14" s="59"/>
    </row>
    <row r="15" spans="1:22" s="4" customFormat="1" ht="15.75" thickBot="1" x14ac:dyDescent="0.3">
      <c r="B15" s="128"/>
      <c r="C15" s="56" t="s">
        <v>6</v>
      </c>
      <c r="D15" s="56" t="s">
        <v>16</v>
      </c>
      <c r="E15" s="56" t="s">
        <v>3</v>
      </c>
      <c r="F15" s="56" t="s">
        <v>17</v>
      </c>
      <c r="G15" s="56" t="s">
        <v>14</v>
      </c>
      <c r="H15" s="56" t="s">
        <v>4</v>
      </c>
      <c r="I15" s="56" t="s">
        <v>132</v>
      </c>
      <c r="J15" s="56" t="s">
        <v>15</v>
      </c>
      <c r="K15" s="56" t="s">
        <v>13</v>
      </c>
      <c r="L15" s="57" t="s">
        <v>19</v>
      </c>
      <c r="M15" s="58" t="s">
        <v>136</v>
      </c>
      <c r="N15" s="46" t="s">
        <v>2</v>
      </c>
      <c r="O15" s="1"/>
      <c r="P15" s="56" t="s">
        <v>64</v>
      </c>
      <c r="Q15" s="56" t="s">
        <v>65</v>
      </c>
      <c r="R15" s="56" t="s">
        <v>133</v>
      </c>
      <c r="S15" s="56" t="s">
        <v>134</v>
      </c>
      <c r="T15" s="56" t="s">
        <v>66</v>
      </c>
      <c r="U15" s="56" t="s">
        <v>67</v>
      </c>
      <c r="V15" s="58" t="s">
        <v>137</v>
      </c>
    </row>
    <row r="16" spans="1:22" s="4" customFormat="1" x14ac:dyDescent="0.25">
      <c r="B16" s="122" t="s">
        <v>82</v>
      </c>
      <c r="C16" s="60">
        <f>-C7/C6</f>
        <v>0.52177347791268969</v>
      </c>
      <c r="D16" s="60">
        <f t="shared" ref="D16" si="9">-D7/D6</f>
        <v>0.52254440468725705</v>
      </c>
      <c r="E16" s="60">
        <f>-E7/E6</f>
        <v>0.51760179232417691</v>
      </c>
      <c r="F16" s="60">
        <f t="shared" ref="F16:G16" si="10">-F7/F6</f>
        <v>0.52299019969051652</v>
      </c>
      <c r="G16" s="60">
        <f t="shared" si="10"/>
        <v>0.55707220496621823</v>
      </c>
      <c r="H16" s="60">
        <f t="shared" ref="H16:M16" si="11">-H7/H6</f>
        <v>0.57086762411919745</v>
      </c>
      <c r="I16" s="60">
        <f t="shared" si="11"/>
        <v>0.63701872867785281</v>
      </c>
      <c r="J16" s="60">
        <f t="shared" si="11"/>
        <v>0.57482034178042152</v>
      </c>
      <c r="K16" s="60">
        <f t="shared" si="11"/>
        <v>0.56376616824846848</v>
      </c>
      <c r="L16" s="62">
        <f t="shared" si="11"/>
        <v>0.5543349542694449</v>
      </c>
      <c r="M16" s="63">
        <f t="shared" si="11"/>
        <v>0.59882817557943802</v>
      </c>
      <c r="N16" s="43">
        <f>(M16-I16)*100</f>
        <v>-3.8190553098414792</v>
      </c>
      <c r="O16" s="1"/>
      <c r="P16" s="60">
        <f t="shared" ref="P16" si="12">-P7/P6</f>
        <v>0.62249080034863247</v>
      </c>
      <c r="Q16" s="60">
        <f>-Q7/Q6</f>
        <v>0.61017000343536143</v>
      </c>
      <c r="R16" s="60">
        <f t="shared" ref="R16:S16" si="13">-R7/R6</f>
        <v>0.63701872867785281</v>
      </c>
      <c r="S16" s="60">
        <f t="shared" si="13"/>
        <v>0.51413043478260867</v>
      </c>
      <c r="T16" s="60">
        <f>-T7/T6</f>
        <v>0.5424206793289551</v>
      </c>
      <c r="U16" s="62">
        <f>-U7/U6</f>
        <v>0.527281537827338</v>
      </c>
      <c r="V16" s="63">
        <f>-V7/V6</f>
        <v>0.59882817557943802</v>
      </c>
    </row>
    <row r="17" spans="2:22" s="4" customFormat="1" ht="15.75" thickBot="1" x14ac:dyDescent="0.3">
      <c r="B17" s="122" t="s">
        <v>83</v>
      </c>
      <c r="C17" s="60">
        <f>-(C8+C9)/C6</f>
        <v>0.38414172239897842</v>
      </c>
      <c r="D17" s="60">
        <f t="shared" ref="D17" si="14">-(D8+D9)/D6</f>
        <v>0.36400403948880483</v>
      </c>
      <c r="E17" s="60">
        <f>-(E8+E9)/E6</f>
        <v>0.36212741087083578</v>
      </c>
      <c r="F17" s="60">
        <f t="shared" ref="F17:G17" si="15">-(F8+F9)/F6</f>
        <v>0.36471151720580652</v>
      </c>
      <c r="G17" s="60">
        <f t="shared" si="15"/>
        <v>0.37719517093962135</v>
      </c>
      <c r="H17" s="60">
        <f t="shared" ref="H17:M17" si="16">-(H8+H9)/H6</f>
        <v>0.36921090850411492</v>
      </c>
      <c r="I17" s="60">
        <f t="shared" si="16"/>
        <v>0.34557543688644432</v>
      </c>
      <c r="J17" s="60">
        <f t="shared" si="16"/>
        <v>0.33767149193687035</v>
      </c>
      <c r="K17" s="60">
        <f t="shared" si="16"/>
        <v>0.33893532223017464</v>
      </c>
      <c r="L17" s="62">
        <f t="shared" si="16"/>
        <v>0.33504665440466291</v>
      </c>
      <c r="M17" s="63">
        <f t="shared" si="16"/>
        <v>0.32548879968923994</v>
      </c>
      <c r="N17" s="43">
        <f t="shared" ref="N17:N18" si="17">(M17-I17)*100</f>
        <v>-2.0086637197204382</v>
      </c>
      <c r="O17" s="1"/>
      <c r="P17" s="60">
        <f t="shared" ref="P17" si="18">-(P8+P9)/P6</f>
        <v>0.40115687993826482</v>
      </c>
      <c r="Q17" s="60">
        <f>-(Q8+Q9)/Q6</f>
        <v>0.34646419038556425</v>
      </c>
      <c r="R17" s="60">
        <f t="shared" ref="R17:S17" si="19">-(R8+R9)/R6</f>
        <v>0.34557543688644432</v>
      </c>
      <c r="S17" s="60">
        <f t="shared" si="19"/>
        <v>0.32995923913043479</v>
      </c>
      <c r="T17" s="60">
        <f>-(T8+T9)/T6</f>
        <v>0.34137576478735854</v>
      </c>
      <c r="U17" s="62">
        <f>-(U8+U9)/U6</f>
        <v>0.32389201934680334</v>
      </c>
      <c r="V17" s="63">
        <f>-(V8+V9)/V6</f>
        <v>0.32548879968923994</v>
      </c>
    </row>
    <row r="18" spans="2:22" s="4" customFormat="1" ht="15.75" thickBot="1" x14ac:dyDescent="0.3">
      <c r="B18" s="126" t="s">
        <v>84</v>
      </c>
      <c r="C18" s="64">
        <f>-(C7+C8+C9)/C6</f>
        <v>0.90591520031166806</v>
      </c>
      <c r="D18" s="64">
        <f t="shared" ref="D18" si="20">-(D7+D8+D9)/D6</f>
        <v>0.88654844417606171</v>
      </c>
      <c r="E18" s="64">
        <f>-(E7+E8+E9)/E6</f>
        <v>0.87972920319501269</v>
      </c>
      <c r="F18" s="64">
        <f t="shared" ref="F18:G18" si="21">-(F7+F8+F9)/F6</f>
        <v>0.88770171689632305</v>
      </c>
      <c r="G18" s="64">
        <f t="shared" si="21"/>
        <v>0.93426737590583953</v>
      </c>
      <c r="H18" s="64">
        <f t="shared" ref="H18:M18" si="22">-(H7+H8+H9)/H6</f>
        <v>0.94007853262331231</v>
      </c>
      <c r="I18" s="64">
        <f t="shared" si="22"/>
        <v>0.98259416556429713</v>
      </c>
      <c r="J18" s="64">
        <f t="shared" si="22"/>
        <v>0.91249183371729192</v>
      </c>
      <c r="K18" s="64">
        <f t="shared" si="22"/>
        <v>0.90270149047864334</v>
      </c>
      <c r="L18" s="65">
        <f t="shared" si="22"/>
        <v>0.88938160867410787</v>
      </c>
      <c r="M18" s="66">
        <f t="shared" si="22"/>
        <v>0.92431697526867795</v>
      </c>
      <c r="N18" s="48">
        <f t="shared" si="17"/>
        <v>-5.8277190295619175</v>
      </c>
      <c r="O18" s="1"/>
      <c r="P18" s="64">
        <f t="shared" ref="P18" si="23">-(P7+P8+P9)/P6</f>
        <v>1.0236476802868972</v>
      </c>
      <c r="Q18" s="64">
        <f>-(Q7+Q8+Q9)/Q6</f>
        <v>0.95663419382092563</v>
      </c>
      <c r="R18" s="64">
        <f t="shared" ref="R18:S18" si="24">-(R7+R8+R9)/R6</f>
        <v>0.98259416556429713</v>
      </c>
      <c r="S18" s="64">
        <f t="shared" si="24"/>
        <v>0.84408967391304346</v>
      </c>
      <c r="T18" s="64">
        <f>-(T7+T8+T9)/T6</f>
        <v>0.88379644411631353</v>
      </c>
      <c r="U18" s="65">
        <f>-(U7+U8+U9)/U6</f>
        <v>0.85117355717414145</v>
      </c>
      <c r="V18" s="66">
        <f>-(V7+V8+V9)/V6</f>
        <v>0.92431697526867795</v>
      </c>
    </row>
    <row r="19" spans="2:22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59"/>
    </row>
    <row r="20" spans="2:22" s="4" customFormat="1" x14ac:dyDescent="0.25">
      <c r="N20" s="6"/>
      <c r="O20" s="61"/>
    </row>
  </sheetData>
  <hyperlinks>
    <hyperlink ref="A2" location="'Financial supplement&gt;&gt;&gt;'!A1" display="INDEX" xr:uid="{D051B6C3-B97C-4B07-B158-6002169D37AF}"/>
  </hyperlinks>
  <pageMargins left="0.7" right="0.7" top="0.75" bottom="0.75" header="0.3" footer="0.3"/>
  <pageSetup paperSize="9" scale="71" orientation="landscape" r:id="rId1"/>
  <ignoredErrors>
    <ignoredError sqref="K10:M10 C10:H10 I10:J10" formulaRange="1"/>
    <ignoredError sqref="R5:R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V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9" width="11" style="5" customWidth="1"/>
    <col min="10" max="11" width="11" style="5" hidden="1" customWidth="1" outlineLevel="1"/>
    <col min="12" max="12" width="11" style="5" customWidth="1" collapsed="1"/>
    <col min="13" max="14" width="11" style="5" customWidth="1"/>
    <col min="15" max="15" width="3" style="1" customWidth="1"/>
    <col min="16" max="16384" width="10.85546875" style="5"/>
  </cols>
  <sheetData>
    <row r="1" spans="1:22" ht="16.5" customHeight="1" x14ac:dyDescent="0.2"/>
    <row r="2" spans="1:22" ht="18.75" customHeight="1" thickBot="1" x14ac:dyDescent="0.25">
      <c r="A2" s="90" t="s">
        <v>20</v>
      </c>
      <c r="B2" s="21" t="s">
        <v>32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117" t="s">
        <v>34</v>
      </c>
      <c r="Q2" s="21"/>
      <c r="R2" s="21"/>
      <c r="S2" s="21"/>
      <c r="T2" s="21"/>
      <c r="U2" s="21"/>
      <c r="V2" s="21"/>
    </row>
    <row r="4" spans="1:22" s="4" customFormat="1" ht="15.75" thickBot="1" x14ac:dyDescent="0.3">
      <c r="B4" s="35"/>
      <c r="C4" s="56" t="s">
        <v>6</v>
      </c>
      <c r="D4" s="56" t="s">
        <v>16</v>
      </c>
      <c r="E4" s="56" t="s">
        <v>3</v>
      </c>
      <c r="F4" s="56" t="s">
        <v>17</v>
      </c>
      <c r="G4" s="56" t="s">
        <v>14</v>
      </c>
      <c r="H4" s="56" t="s">
        <v>4</v>
      </c>
      <c r="I4" s="56" t="s">
        <v>132</v>
      </c>
      <c r="J4" s="56" t="s">
        <v>15</v>
      </c>
      <c r="K4" s="56" t="s">
        <v>13</v>
      </c>
      <c r="L4" s="57" t="s">
        <v>19</v>
      </c>
      <c r="M4" s="58" t="s">
        <v>136</v>
      </c>
      <c r="N4" s="45" t="s">
        <v>0</v>
      </c>
      <c r="O4" s="1"/>
      <c r="P4" s="56" t="s">
        <v>64</v>
      </c>
      <c r="Q4" s="56" t="s">
        <v>65</v>
      </c>
      <c r="R4" s="56" t="s">
        <v>133</v>
      </c>
      <c r="S4" s="56" t="s">
        <v>134</v>
      </c>
      <c r="T4" s="56" t="s">
        <v>66</v>
      </c>
      <c r="U4" s="56" t="s">
        <v>67</v>
      </c>
      <c r="V4" s="58" t="s">
        <v>137</v>
      </c>
    </row>
    <row r="5" spans="1:22" s="4" customFormat="1" x14ac:dyDescent="0.25">
      <c r="B5" s="124" t="s">
        <v>68</v>
      </c>
      <c r="C5" s="102">
        <v>7518</v>
      </c>
      <c r="D5" s="102">
        <v>12243.391560000002</v>
      </c>
      <c r="E5" s="102">
        <v>15744</v>
      </c>
      <c r="F5" s="102">
        <v>13257.647209999999</v>
      </c>
      <c r="G5" s="102">
        <v>16876.646899999996</v>
      </c>
      <c r="H5" s="102">
        <v>21826</v>
      </c>
      <c r="I5" s="102">
        <v>12002</v>
      </c>
      <c r="J5" s="102">
        <v>16622.485779999999</v>
      </c>
      <c r="K5" s="102">
        <v>20912.694649999998</v>
      </c>
      <c r="L5" s="103">
        <v>26449</v>
      </c>
      <c r="M5" s="104">
        <v>13760</v>
      </c>
      <c r="N5" s="41">
        <f t="shared" ref="N5:N9" si="0">+M5/I5-1</f>
        <v>0.14647558740209976</v>
      </c>
      <c r="O5" s="1"/>
      <c r="P5" s="102">
        <f>G5-F5</f>
        <v>3618.9996899999969</v>
      </c>
      <c r="Q5" s="102">
        <f>H5-G5</f>
        <v>4949.3531000000039</v>
      </c>
      <c r="R5" s="102">
        <f>I5</f>
        <v>12002</v>
      </c>
      <c r="S5" s="102">
        <f t="shared" ref="S5:T9" si="1">J5-I5</f>
        <v>4620.4857799999991</v>
      </c>
      <c r="T5" s="102">
        <f t="shared" si="1"/>
        <v>4290.2088699999986</v>
      </c>
      <c r="U5" s="103">
        <f t="shared" ref="U5:U9" si="2">L5-K5</f>
        <v>5536.3053500000024</v>
      </c>
      <c r="V5" s="104">
        <f t="shared" ref="V5:V8" si="3">M5</f>
        <v>13760</v>
      </c>
    </row>
    <row r="6" spans="1:22" s="4" customFormat="1" x14ac:dyDescent="0.25">
      <c r="B6" s="124" t="s">
        <v>69</v>
      </c>
      <c r="C6" s="102">
        <v>2147</v>
      </c>
      <c r="D6" s="102">
        <v>4759.8379600000044</v>
      </c>
      <c r="E6" s="102">
        <v>748</v>
      </c>
      <c r="F6" s="102">
        <v>4885</v>
      </c>
      <c r="G6" s="102">
        <v>7577.615569999989</v>
      </c>
      <c r="H6" s="102">
        <v>12020</v>
      </c>
      <c r="I6" s="102">
        <v>3056</v>
      </c>
      <c r="J6" s="102">
        <v>6342</v>
      </c>
      <c r="K6" s="102">
        <v>9860.6312800000014</v>
      </c>
      <c r="L6" s="103">
        <v>14981</v>
      </c>
      <c r="M6" s="104">
        <v>3754</v>
      </c>
      <c r="N6" s="41">
        <f t="shared" si="0"/>
        <v>0.22840314136125661</v>
      </c>
      <c r="O6" s="1"/>
      <c r="P6" s="102">
        <f>G6-F6</f>
        <v>2692.615569999989</v>
      </c>
      <c r="Q6" s="102">
        <f t="shared" ref="Q6:Q9" si="4">H6-G6</f>
        <v>4442.384430000011</v>
      </c>
      <c r="R6" s="102">
        <f t="shared" ref="R6:R9" si="5">I6</f>
        <v>3056</v>
      </c>
      <c r="S6" s="102">
        <f t="shared" si="1"/>
        <v>3286</v>
      </c>
      <c r="T6" s="102">
        <f t="shared" si="1"/>
        <v>3518.6312800000014</v>
      </c>
      <c r="U6" s="103">
        <f t="shared" si="2"/>
        <v>5120.3687199999986</v>
      </c>
      <c r="V6" s="104">
        <f t="shared" si="3"/>
        <v>3754</v>
      </c>
    </row>
    <row r="7" spans="1:22" s="4" customFormat="1" x14ac:dyDescent="0.25">
      <c r="B7" s="122" t="s">
        <v>70</v>
      </c>
      <c r="C7" s="59">
        <v>-2866</v>
      </c>
      <c r="D7" s="59">
        <v>-5492.4931738313571</v>
      </c>
      <c r="E7" s="59">
        <v>-7856</v>
      </c>
      <c r="F7" s="59">
        <v>-5258</v>
      </c>
      <c r="G7" s="59">
        <v>-7858.8337416389977</v>
      </c>
      <c r="H7" s="59">
        <v>-10712</v>
      </c>
      <c r="I7" s="59">
        <v>-3153</v>
      </c>
      <c r="J7" s="59">
        <v>-6678</v>
      </c>
      <c r="K7" s="59">
        <v>-9731.433319279995</v>
      </c>
      <c r="L7" s="105">
        <v>-12951</v>
      </c>
      <c r="M7" s="99">
        <v>-3799</v>
      </c>
      <c r="N7" s="42">
        <f t="shared" si="0"/>
        <v>0.20488423723437998</v>
      </c>
      <c r="O7" s="1"/>
      <c r="P7" s="59">
        <f>G7-F7</f>
        <v>-2600.8337416389977</v>
      </c>
      <c r="Q7" s="59">
        <f t="shared" si="4"/>
        <v>-2853.1662583610023</v>
      </c>
      <c r="R7" s="59">
        <f t="shared" si="5"/>
        <v>-3153</v>
      </c>
      <c r="S7" s="59">
        <f t="shared" si="1"/>
        <v>-3525</v>
      </c>
      <c r="T7" s="59">
        <f t="shared" si="1"/>
        <v>-3053.433319279995</v>
      </c>
      <c r="U7" s="105">
        <f t="shared" si="2"/>
        <v>-3219.566680720005</v>
      </c>
      <c r="V7" s="99">
        <f t="shared" si="3"/>
        <v>-3799</v>
      </c>
    </row>
    <row r="8" spans="1:22" s="4" customFormat="1" x14ac:dyDescent="0.25">
      <c r="B8" s="122" t="s">
        <v>71</v>
      </c>
      <c r="C8" s="59">
        <v>-6083</v>
      </c>
      <c r="D8" s="59">
        <v>-5317.2468838576415</v>
      </c>
      <c r="E8" s="59">
        <v>-9085</v>
      </c>
      <c r="F8" s="59">
        <v>-2166</v>
      </c>
      <c r="G8" s="59">
        <v>-4556.8115809177998</v>
      </c>
      <c r="H8" s="59">
        <v>-8920</v>
      </c>
      <c r="I8" s="59">
        <v>-4</v>
      </c>
      <c r="J8" s="59">
        <v>-2567</v>
      </c>
      <c r="K8" s="59">
        <v>-5210.2223628648017</v>
      </c>
      <c r="L8" s="105">
        <v>-9147</v>
      </c>
      <c r="M8" s="99">
        <v>181</v>
      </c>
      <c r="N8" s="42">
        <f t="shared" si="0"/>
        <v>-46.25</v>
      </c>
      <c r="O8" s="1"/>
      <c r="P8" s="59">
        <f>G8-F8</f>
        <v>-2390.8115809177998</v>
      </c>
      <c r="Q8" s="59">
        <f t="shared" si="4"/>
        <v>-4363.1884190822002</v>
      </c>
      <c r="R8" s="59">
        <f t="shared" si="5"/>
        <v>-4</v>
      </c>
      <c r="S8" s="59">
        <f t="shared" si="1"/>
        <v>-2563</v>
      </c>
      <c r="T8" s="59">
        <f t="shared" si="1"/>
        <v>-2643.2223628648017</v>
      </c>
      <c r="U8" s="105">
        <f t="shared" si="2"/>
        <v>-3936.7776371351983</v>
      </c>
      <c r="V8" s="99">
        <f t="shared" si="3"/>
        <v>181</v>
      </c>
    </row>
    <row r="9" spans="1:22" s="4" customFormat="1" ht="15.75" thickBot="1" x14ac:dyDescent="0.3">
      <c r="B9" s="122" t="s">
        <v>72</v>
      </c>
      <c r="C9" s="59">
        <v>-240</v>
      </c>
      <c r="D9" s="59">
        <v>-180</v>
      </c>
      <c r="E9" s="59">
        <v>-153</v>
      </c>
      <c r="F9" s="59">
        <v>-121</v>
      </c>
      <c r="G9" s="59">
        <v>-199.06700000000001</v>
      </c>
      <c r="H9" s="59">
        <v>-278</v>
      </c>
      <c r="I9" s="59">
        <v>-60</v>
      </c>
      <c r="J9" s="59">
        <v>-103</v>
      </c>
      <c r="K9" s="59">
        <v>-128.2534</v>
      </c>
      <c r="L9" s="105">
        <v>-93</v>
      </c>
      <c r="M9" s="99">
        <v>-61</v>
      </c>
      <c r="N9" s="42">
        <f t="shared" si="0"/>
        <v>1.6666666666666607E-2</v>
      </c>
      <c r="O9" s="1"/>
      <c r="P9" s="59">
        <f>G9-F9</f>
        <v>-78.067000000000007</v>
      </c>
      <c r="Q9" s="59">
        <f t="shared" si="4"/>
        <v>-78.932999999999993</v>
      </c>
      <c r="R9" s="59">
        <f t="shared" si="5"/>
        <v>-60</v>
      </c>
      <c r="S9" s="59">
        <f t="shared" si="1"/>
        <v>-43</v>
      </c>
      <c r="T9" s="59">
        <f t="shared" si="1"/>
        <v>-25.253399999999999</v>
      </c>
      <c r="U9" s="105">
        <f t="shared" si="2"/>
        <v>35.253399999999999</v>
      </c>
      <c r="V9" s="99">
        <f>M9</f>
        <v>-61</v>
      </c>
    </row>
    <row r="10" spans="1:22" s="4" customFormat="1" ht="15.75" thickBot="1" x14ac:dyDescent="0.3">
      <c r="B10" s="126" t="s">
        <v>73</v>
      </c>
      <c r="C10" s="100">
        <f>SUM(C6:C9)</f>
        <v>-7042</v>
      </c>
      <c r="D10" s="100">
        <f>SUM(D6:D9)</f>
        <v>-6229.9020976889942</v>
      </c>
      <c r="E10" s="100">
        <f>SUM(E6:E9)</f>
        <v>-16346</v>
      </c>
      <c r="F10" s="100">
        <f t="shared" ref="F10:G10" si="6">SUM(F6:F9)</f>
        <v>-2660</v>
      </c>
      <c r="G10" s="100">
        <f t="shared" si="6"/>
        <v>-5037.0967525568085</v>
      </c>
      <c r="H10" s="100">
        <f t="shared" ref="H10:M10" si="7">SUM(H6:H9)</f>
        <v>-7890</v>
      </c>
      <c r="I10" s="100">
        <f t="shared" si="7"/>
        <v>-161</v>
      </c>
      <c r="J10" s="100">
        <f t="shared" si="7"/>
        <v>-3006</v>
      </c>
      <c r="K10" s="100">
        <f t="shared" si="7"/>
        <v>-5209.2778021447948</v>
      </c>
      <c r="L10" s="106">
        <f t="shared" si="7"/>
        <v>-7210</v>
      </c>
      <c r="M10" s="101">
        <f t="shared" si="7"/>
        <v>75</v>
      </c>
      <c r="N10" s="47">
        <f>+M10/I10-1</f>
        <v>-1.4658385093167703</v>
      </c>
      <c r="O10" s="1"/>
      <c r="P10" s="100">
        <f t="shared" ref="P10:V10" si="8">SUM(P6:P9)</f>
        <v>-2377.0967525568085</v>
      </c>
      <c r="Q10" s="100">
        <f t="shared" si="8"/>
        <v>-2852.9032474431915</v>
      </c>
      <c r="R10" s="100">
        <f t="shared" si="8"/>
        <v>-161</v>
      </c>
      <c r="S10" s="100">
        <f t="shared" si="8"/>
        <v>-2845</v>
      </c>
      <c r="T10" s="100">
        <f>SUM(T6:T9)</f>
        <v>-2203.2778021447953</v>
      </c>
      <c r="U10" s="106">
        <f t="shared" si="8"/>
        <v>-2000.7221978552047</v>
      </c>
      <c r="V10" s="101">
        <f t="shared" si="8"/>
        <v>75</v>
      </c>
    </row>
    <row r="11" spans="1:22" s="4" customFormat="1" ht="9" customHeight="1" x14ac:dyDescent="0.25">
      <c r="B11" s="12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1"/>
      <c r="P11" s="38"/>
      <c r="Q11" s="38"/>
      <c r="R11" s="38"/>
      <c r="S11" s="38"/>
      <c r="T11" s="38"/>
      <c r="U11" s="38"/>
    </row>
    <row r="12" spans="1:22" s="4" customFormat="1" x14ac:dyDescent="0.25">
      <c r="B12" s="129"/>
      <c r="C12" s="31"/>
      <c r="D12" s="31"/>
      <c r="E12" s="31"/>
      <c r="F12" s="31"/>
      <c r="G12" s="31"/>
      <c r="H12" s="31"/>
      <c r="I12" s="129"/>
      <c r="J12" s="31"/>
      <c r="K12" s="31"/>
      <c r="L12" s="31"/>
      <c r="M12" s="31"/>
      <c r="N12" s="123" t="s">
        <v>63</v>
      </c>
      <c r="O12" s="1"/>
      <c r="P12" s="31"/>
      <c r="Q12" s="31"/>
      <c r="R12" s="129"/>
      <c r="S12" s="129"/>
      <c r="T12" s="129"/>
      <c r="U12" s="31"/>
      <c r="V12" s="139" t="s">
        <v>63</v>
      </c>
    </row>
    <row r="13" spans="1:22" s="4" customFormat="1" x14ac:dyDescent="0.25">
      <c r="B13" s="129"/>
      <c r="C13" s="31"/>
      <c r="D13" s="31"/>
      <c r="E13" s="31"/>
      <c r="F13" s="31"/>
      <c r="G13" s="31"/>
      <c r="H13" s="31"/>
      <c r="I13" s="129"/>
      <c r="J13" s="31"/>
      <c r="K13" s="31"/>
      <c r="L13" s="31"/>
      <c r="M13" s="31"/>
      <c r="N13" s="31"/>
      <c r="O13" s="1"/>
      <c r="P13" s="31"/>
      <c r="Q13" s="31"/>
      <c r="R13" s="129"/>
      <c r="S13" s="129"/>
      <c r="T13" s="129"/>
      <c r="U13" s="31"/>
    </row>
    <row r="14" spans="1:22" s="4" customFormat="1" x14ac:dyDescent="0.25">
      <c r="B14" s="124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1"/>
      <c r="P14" s="38"/>
      <c r="Q14" s="38"/>
      <c r="R14" s="38"/>
      <c r="S14" s="38"/>
      <c r="T14" s="38"/>
      <c r="U14" s="38"/>
    </row>
    <row r="15" spans="1:22" s="4" customFormat="1" ht="15.75" thickBot="1" x14ac:dyDescent="0.3">
      <c r="B15" s="128"/>
      <c r="C15" s="56" t="s">
        <v>6</v>
      </c>
      <c r="D15" s="56" t="s">
        <v>16</v>
      </c>
      <c r="E15" s="56" t="s">
        <v>3</v>
      </c>
      <c r="F15" s="56" t="s">
        <v>17</v>
      </c>
      <c r="G15" s="56" t="s">
        <v>14</v>
      </c>
      <c r="H15" s="56" t="s">
        <v>4</v>
      </c>
      <c r="I15" s="56" t="s">
        <v>132</v>
      </c>
      <c r="J15" s="56" t="s">
        <v>15</v>
      </c>
      <c r="K15" s="56" t="s">
        <v>13</v>
      </c>
      <c r="L15" s="57" t="s">
        <v>19</v>
      </c>
      <c r="M15" s="58" t="s">
        <v>136</v>
      </c>
      <c r="N15" s="46" t="s">
        <v>2</v>
      </c>
      <c r="O15" s="1"/>
      <c r="P15" s="56" t="s">
        <v>64</v>
      </c>
      <c r="Q15" s="56" t="s">
        <v>65</v>
      </c>
      <c r="R15" s="56" t="s">
        <v>133</v>
      </c>
      <c r="S15" s="56" t="s">
        <v>134</v>
      </c>
      <c r="T15" s="56" t="s">
        <v>66</v>
      </c>
      <c r="U15" s="56" t="s">
        <v>67</v>
      </c>
      <c r="V15" s="58" t="s">
        <v>137</v>
      </c>
    </row>
    <row r="16" spans="1:22" s="4" customFormat="1" x14ac:dyDescent="0.25">
      <c r="B16" s="122" t="s">
        <v>82</v>
      </c>
      <c r="C16" s="60">
        <f>-C7/C6</f>
        <v>1.3348858872845832</v>
      </c>
      <c r="D16" s="60">
        <f>-D7/D6</f>
        <v>1.1539244024667075</v>
      </c>
      <c r="E16" s="60">
        <f>-E7/E6</f>
        <v>10.502673796791443</v>
      </c>
      <c r="F16" s="60">
        <f t="shared" ref="F16" si="9">-F7/F6</f>
        <v>1.0763561924257932</v>
      </c>
      <c r="G16" s="60">
        <f t="shared" ref="G16" si="10">-G7/G6</f>
        <v>1.0371116968182392</v>
      </c>
      <c r="H16" s="60">
        <f t="shared" ref="H16:M16" si="11">-H7/H6</f>
        <v>0.89118136439267892</v>
      </c>
      <c r="I16" s="60">
        <f t="shared" si="11"/>
        <v>1.0317408376963351</v>
      </c>
      <c r="J16" s="60">
        <f t="shared" si="11"/>
        <v>1.0529801324503312</v>
      </c>
      <c r="K16" s="60">
        <f t="shared" si="11"/>
        <v>0.98689759742035432</v>
      </c>
      <c r="L16" s="62">
        <f t="shared" si="11"/>
        <v>0.86449502703424341</v>
      </c>
      <c r="M16" s="63">
        <f t="shared" si="11"/>
        <v>1.0119872136387853</v>
      </c>
      <c r="N16" s="43">
        <f>(M16-I16)*100</f>
        <v>-1.9753624057549768</v>
      </c>
      <c r="O16" s="1"/>
      <c r="P16" s="60">
        <f t="shared" ref="P16" si="12">-P7/P6</f>
        <v>0.96591350455535263</v>
      </c>
      <c r="Q16" s="60">
        <f>-Q7/Q6</f>
        <v>0.64226009777388748</v>
      </c>
      <c r="R16" s="60">
        <f t="shared" ref="R16:S16" si="13">-R7/R6</f>
        <v>1.0317408376963351</v>
      </c>
      <c r="S16" s="60">
        <f t="shared" si="13"/>
        <v>1.0727328058429701</v>
      </c>
      <c r="T16" s="60">
        <f>-T7/T6</f>
        <v>0.86779007980625744</v>
      </c>
      <c r="U16" s="62">
        <f>-U7/U6</f>
        <v>0.62877633560733215</v>
      </c>
      <c r="V16" s="63">
        <f>-V7/V6</f>
        <v>1.0119872136387853</v>
      </c>
    </row>
    <row r="17" spans="2:22" s="4" customFormat="1" ht="15.75" thickBot="1" x14ac:dyDescent="0.3">
      <c r="B17" s="122" t="s">
        <v>83</v>
      </c>
      <c r="C17" s="60">
        <f>-(C8+C9)/C6</f>
        <v>2.9450395901257567</v>
      </c>
      <c r="D17" s="60">
        <f>-(D8+D9)/D6</f>
        <v>1.1549231150418482</v>
      </c>
      <c r="E17" s="60">
        <f>-(E8+E9)/E6</f>
        <v>12.350267379679144</v>
      </c>
      <c r="F17" s="60">
        <f t="shared" ref="F17" si="14">-(F8+F9)/F6</f>
        <v>0.46816786079836231</v>
      </c>
      <c r="G17" s="60">
        <f t="shared" ref="G17" si="15">-(G8+G9)/G6</f>
        <v>0.62762204508585362</v>
      </c>
      <c r="H17" s="60">
        <f t="shared" ref="H17:M17" si="16">-(H8+H9)/H6</f>
        <v>0.7652246256239601</v>
      </c>
      <c r="I17" s="60">
        <f t="shared" si="16"/>
        <v>2.0942408376963352E-2</v>
      </c>
      <c r="J17" s="60">
        <f t="shared" si="16"/>
        <v>0.42100283822138129</v>
      </c>
      <c r="K17" s="60">
        <f t="shared" si="16"/>
        <v>0.54139289983316363</v>
      </c>
      <c r="L17" s="62">
        <f t="shared" si="16"/>
        <v>0.61678125625792668</v>
      </c>
      <c r="M17" s="63">
        <f t="shared" si="16"/>
        <v>-3.1965903036760786E-2</v>
      </c>
      <c r="N17" s="43">
        <f t="shared" ref="N17:N18" si="17">(M17-I17)*100</f>
        <v>-5.2908311413724141</v>
      </c>
      <c r="O17" s="1"/>
      <c r="P17" s="60">
        <f t="shared" ref="P17" si="18">-(P8+P9)/P6</f>
        <v>0.91690719181194136</v>
      </c>
      <c r="Q17" s="60">
        <f>-(Q8+Q9)/Q6</f>
        <v>0.99994079510182987</v>
      </c>
      <c r="R17" s="60">
        <f t="shared" ref="R17:S17" si="19">-(R8+R9)/R6</f>
        <v>2.0942408376963352E-2</v>
      </c>
      <c r="S17" s="60">
        <f t="shared" si="19"/>
        <v>0.79306147291539864</v>
      </c>
      <c r="T17" s="60">
        <f>-(T8+T9)/T6</f>
        <v>0.75838459631519006</v>
      </c>
      <c r="U17" s="62">
        <f>-(U8+U9)/U6</f>
        <v>0.76196157942610032</v>
      </c>
      <c r="V17" s="63">
        <f>-(V8+V9)/V6</f>
        <v>-3.1965903036760786E-2</v>
      </c>
    </row>
    <row r="18" spans="2:22" s="4" customFormat="1" ht="15.75" thickBot="1" x14ac:dyDescent="0.3">
      <c r="B18" s="126" t="s">
        <v>84</v>
      </c>
      <c r="C18" s="64">
        <f>-(C7+C8+C9)/C6</f>
        <v>4.2799254774103401</v>
      </c>
      <c r="D18" s="64">
        <f>-(D7+D8+D9)/D6</f>
        <v>2.3088475175085561</v>
      </c>
      <c r="E18" s="64">
        <f>-(E7+E8+E9)/E6</f>
        <v>22.852941176470587</v>
      </c>
      <c r="F18" s="64">
        <f t="shared" ref="F18" si="20">-(F7+F8+F9)/F6</f>
        <v>1.5445240532241555</v>
      </c>
      <c r="G18" s="64">
        <f t="shared" ref="G18" si="21">-(G7+G8+G9)/G6</f>
        <v>1.6647337419040926</v>
      </c>
      <c r="H18" s="64">
        <f t="shared" ref="H18:M18" si="22">-(H7+H8+H9)/H6</f>
        <v>1.656405990016639</v>
      </c>
      <c r="I18" s="64">
        <f t="shared" si="22"/>
        <v>1.0526832460732984</v>
      </c>
      <c r="J18" s="64">
        <f t="shared" si="22"/>
        <v>1.4739829706717125</v>
      </c>
      <c r="K18" s="64">
        <f t="shared" si="22"/>
        <v>1.5282904972535178</v>
      </c>
      <c r="L18" s="65">
        <f t="shared" si="22"/>
        <v>1.48127628329217</v>
      </c>
      <c r="M18" s="66">
        <f t="shared" si="22"/>
        <v>0.98002131060202446</v>
      </c>
      <c r="N18" s="48">
        <f t="shared" si="17"/>
        <v>-7.2661935471273971</v>
      </c>
      <c r="O18" s="1"/>
      <c r="P18" s="64">
        <f t="shared" ref="P18" si="23">-(P7+P8+P9)/P6</f>
        <v>1.882820696367294</v>
      </c>
      <c r="Q18" s="64">
        <f>-(Q7+Q8+Q9)/Q6</f>
        <v>1.6422008928757172</v>
      </c>
      <c r="R18" s="64">
        <f t="shared" ref="R18:S18" si="24">-(R7+R8+R9)/R6</f>
        <v>1.0526832460732984</v>
      </c>
      <c r="S18" s="64">
        <f t="shared" si="24"/>
        <v>1.8657942787583688</v>
      </c>
      <c r="T18" s="64">
        <f>-(T7+T8+T9)/T6</f>
        <v>1.6261746761214475</v>
      </c>
      <c r="U18" s="65">
        <f>-(U7+U8+U9)/U6</f>
        <v>1.3907379150334325</v>
      </c>
      <c r="V18" s="66">
        <f>-(V7+V8+V9)/V6</f>
        <v>0.98002131060202446</v>
      </c>
    </row>
    <row r="19" spans="2:22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59"/>
    </row>
    <row r="20" spans="2:22" s="4" customFormat="1" x14ac:dyDescent="0.25">
      <c r="N20" s="6"/>
      <c r="O20" s="61"/>
    </row>
  </sheetData>
  <hyperlinks>
    <hyperlink ref="A2" location="'Financial supplement&gt;&gt;&gt;'!A1" display="INDEX" xr:uid="{4759E408-9D67-4D5F-A24F-4AB81038EC25}"/>
  </hyperlinks>
  <pageMargins left="0.7" right="0.7" top="0.75" bottom="0.75" header="0.3" footer="0.3"/>
  <pageSetup paperSize="9" scale="71" orientation="landscape" r:id="rId1"/>
  <ignoredErrors>
    <ignoredError sqref="K10:M10 C10:H10 I10:J10" formulaRange="1"/>
    <ignoredError sqref="R5:R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V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9" width="11" style="5" customWidth="1"/>
    <col min="10" max="11" width="11" style="5" hidden="1" customWidth="1" outlineLevel="1"/>
    <col min="12" max="12" width="11" style="5" customWidth="1" collapsed="1"/>
    <col min="13" max="14" width="11" style="5" customWidth="1"/>
    <col min="15" max="15" width="3" style="1" customWidth="1"/>
    <col min="16" max="16384" width="10.85546875" style="5"/>
  </cols>
  <sheetData>
    <row r="1" spans="1:22" ht="16.5" customHeight="1" x14ac:dyDescent="0.2"/>
    <row r="2" spans="1:22" ht="18.75" customHeight="1" thickBot="1" x14ac:dyDescent="0.25">
      <c r="A2" s="90" t="s">
        <v>20</v>
      </c>
      <c r="B2" s="117" t="s">
        <v>33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117" t="s">
        <v>34</v>
      </c>
      <c r="Q2" s="21"/>
      <c r="R2" s="21"/>
      <c r="S2" s="21"/>
      <c r="T2" s="21"/>
      <c r="U2" s="21"/>
      <c r="V2" s="21"/>
    </row>
    <row r="4" spans="1:22" s="4" customFormat="1" ht="15.75" thickBot="1" x14ac:dyDescent="0.3">
      <c r="B4" s="35"/>
      <c r="C4" s="56" t="s">
        <v>6</v>
      </c>
      <c r="D4" s="56" t="s">
        <v>16</v>
      </c>
      <c r="E4" s="56" t="s">
        <v>3</v>
      </c>
      <c r="F4" s="56" t="s">
        <v>17</v>
      </c>
      <c r="G4" s="56" t="s">
        <v>14</v>
      </c>
      <c r="H4" s="56" t="s">
        <v>4</v>
      </c>
      <c r="I4" s="56" t="s">
        <v>132</v>
      </c>
      <c r="J4" s="56" t="s">
        <v>15</v>
      </c>
      <c r="K4" s="56" t="s">
        <v>13</v>
      </c>
      <c r="L4" s="56" t="s">
        <v>19</v>
      </c>
      <c r="M4" s="58" t="s">
        <v>136</v>
      </c>
      <c r="N4" s="45" t="s">
        <v>0</v>
      </c>
      <c r="O4" s="1"/>
      <c r="P4" s="56" t="s">
        <v>64</v>
      </c>
      <c r="Q4" s="56" t="s">
        <v>65</v>
      </c>
      <c r="R4" s="56" t="s">
        <v>133</v>
      </c>
      <c r="S4" s="56" t="s">
        <v>134</v>
      </c>
      <c r="T4" s="56" t="s">
        <v>66</v>
      </c>
      <c r="U4" s="56" t="s">
        <v>67</v>
      </c>
      <c r="V4" s="58" t="s">
        <v>137</v>
      </c>
    </row>
    <row r="5" spans="1:22" s="4" customFormat="1" x14ac:dyDescent="0.25">
      <c r="B5" s="124" t="s">
        <v>68</v>
      </c>
      <c r="C5" s="102">
        <v>3733</v>
      </c>
      <c r="D5" s="102">
        <v>2922.9176800000005</v>
      </c>
      <c r="E5" s="102">
        <v>3036</v>
      </c>
      <c r="F5" s="102">
        <v>1455.98549</v>
      </c>
      <c r="G5" s="102">
        <v>1458.5712900000001</v>
      </c>
      <c r="H5" s="102">
        <v>1478</v>
      </c>
      <c r="I5" s="102">
        <v>1349</v>
      </c>
      <c r="J5" s="102">
        <v>1363.2525899999998</v>
      </c>
      <c r="K5" s="102">
        <v>1379.12904</v>
      </c>
      <c r="L5" s="102">
        <v>1397</v>
      </c>
      <c r="M5" s="104">
        <v>1061</v>
      </c>
      <c r="N5" s="41">
        <f t="shared" ref="N5:N9" si="0">+M5/I5-1</f>
        <v>-0.21349147516679023</v>
      </c>
      <c r="O5" s="1"/>
      <c r="P5" s="102">
        <f>G5-F5</f>
        <v>2.5858000000000629</v>
      </c>
      <c r="Q5" s="102">
        <f>H5-G5</f>
        <v>19.42870999999991</v>
      </c>
      <c r="R5" s="14">
        <f t="shared" ref="R5:R9" si="1">I5</f>
        <v>1349</v>
      </c>
      <c r="S5" s="102">
        <f t="shared" ref="S5:T10" si="2">J5-I5</f>
        <v>14.252589999999827</v>
      </c>
      <c r="T5" s="102">
        <f t="shared" si="2"/>
        <v>15.876450000000204</v>
      </c>
      <c r="U5" s="102">
        <f t="shared" ref="U5:U10" si="3">L5-K5</f>
        <v>17.870959999999968</v>
      </c>
      <c r="V5" s="24">
        <f t="shared" ref="V5:V9" si="4">M5</f>
        <v>1061</v>
      </c>
    </row>
    <row r="6" spans="1:22" s="4" customFormat="1" x14ac:dyDescent="0.25">
      <c r="B6" s="124" t="s">
        <v>69</v>
      </c>
      <c r="C6" s="102">
        <v>3215</v>
      </c>
      <c r="D6" s="102">
        <v>2324.0937800000011</v>
      </c>
      <c r="E6" s="102">
        <v>3045</v>
      </c>
      <c r="F6" s="102">
        <v>1076.1931599999994</v>
      </c>
      <c r="G6" s="102">
        <v>1494.5009200000009</v>
      </c>
      <c r="H6" s="102">
        <v>2005.9999999999998</v>
      </c>
      <c r="I6" s="102">
        <v>324</v>
      </c>
      <c r="J6" s="102">
        <v>678.65083999999956</v>
      </c>
      <c r="K6" s="102">
        <v>1032.8062699999991</v>
      </c>
      <c r="L6" s="102">
        <v>1388</v>
      </c>
      <c r="M6" s="104">
        <v>481</v>
      </c>
      <c r="N6" s="41">
        <f t="shared" si="0"/>
        <v>0.48456790123456783</v>
      </c>
      <c r="O6" s="1"/>
      <c r="P6" s="102">
        <f>G6-F6</f>
        <v>418.30776000000151</v>
      </c>
      <c r="Q6" s="102">
        <f t="shared" ref="Q6:Q10" si="5">H6-G6</f>
        <v>511.49907999999891</v>
      </c>
      <c r="R6" s="14">
        <f t="shared" si="1"/>
        <v>324</v>
      </c>
      <c r="S6" s="102">
        <f t="shared" si="2"/>
        <v>354.65083999999956</v>
      </c>
      <c r="T6" s="102">
        <f t="shared" si="2"/>
        <v>354.15542999999957</v>
      </c>
      <c r="U6" s="102">
        <f t="shared" si="3"/>
        <v>355.19373000000087</v>
      </c>
      <c r="V6" s="24">
        <f t="shared" si="4"/>
        <v>481</v>
      </c>
    </row>
    <row r="7" spans="1:22" s="4" customFormat="1" x14ac:dyDescent="0.25">
      <c r="B7" s="122" t="s">
        <v>70</v>
      </c>
      <c r="C7" s="59">
        <v>-223</v>
      </c>
      <c r="D7" s="59">
        <v>-236.41472000000036</v>
      </c>
      <c r="E7" s="59">
        <v>-328</v>
      </c>
      <c r="F7" s="59">
        <v>-326.50592000000017</v>
      </c>
      <c r="G7" s="59">
        <v>-416.03276999999957</v>
      </c>
      <c r="H7" s="59">
        <v>-292</v>
      </c>
      <c r="I7" s="59">
        <v>-38</v>
      </c>
      <c r="J7" s="59">
        <v>-31.639760000000294</v>
      </c>
      <c r="K7" s="59">
        <v>-37.001470000000211</v>
      </c>
      <c r="L7" s="59">
        <v>0</v>
      </c>
      <c r="M7" s="25">
        <v>-49</v>
      </c>
      <c r="N7" s="42">
        <f t="shared" si="0"/>
        <v>0.28947368421052633</v>
      </c>
      <c r="O7" s="1"/>
      <c r="P7" s="59">
        <f>G7-F7</f>
        <v>-89.526849999999399</v>
      </c>
      <c r="Q7" s="59">
        <f t="shared" si="5"/>
        <v>124.03276999999957</v>
      </c>
      <c r="R7" s="15">
        <f t="shared" si="1"/>
        <v>-38</v>
      </c>
      <c r="S7" s="59">
        <f t="shared" si="2"/>
        <v>6.3602399999997061</v>
      </c>
      <c r="T7" s="59">
        <f t="shared" si="2"/>
        <v>-5.3617099999999169</v>
      </c>
      <c r="U7" s="59">
        <f t="shared" si="3"/>
        <v>37.001470000000211</v>
      </c>
      <c r="V7" s="25">
        <f t="shared" si="4"/>
        <v>-49</v>
      </c>
    </row>
    <row r="8" spans="1:22" s="4" customFormat="1" x14ac:dyDescent="0.25">
      <c r="B8" s="122" t="s">
        <v>88</v>
      </c>
      <c r="C8" s="59">
        <v>-751</v>
      </c>
      <c r="D8" s="59">
        <v>-536.81047999999998</v>
      </c>
      <c r="E8" s="59">
        <v>-724</v>
      </c>
      <c r="F8" s="59">
        <v>-416.92200000000003</v>
      </c>
      <c r="G8" s="59">
        <v>-499.85578000000004</v>
      </c>
      <c r="H8" s="59">
        <v>-708</v>
      </c>
      <c r="I8" s="59">
        <v>-184</v>
      </c>
      <c r="J8" s="59">
        <v>-172.00487000000001</v>
      </c>
      <c r="K8" s="59">
        <v>-386.88099</v>
      </c>
      <c r="L8" s="59">
        <v>-594</v>
      </c>
      <c r="M8" s="99">
        <v>-118</v>
      </c>
      <c r="N8" s="42">
        <f t="shared" si="0"/>
        <v>-0.35869565217391308</v>
      </c>
      <c r="O8" s="1"/>
      <c r="P8" s="59">
        <f>G8-F8</f>
        <v>-82.933780000000013</v>
      </c>
      <c r="Q8" s="59">
        <f t="shared" si="5"/>
        <v>-208.14421999999996</v>
      </c>
      <c r="R8" s="15">
        <f t="shared" si="1"/>
        <v>-184</v>
      </c>
      <c r="S8" s="59">
        <f t="shared" si="2"/>
        <v>11.995129999999989</v>
      </c>
      <c r="T8" s="59">
        <f t="shared" si="2"/>
        <v>-214.87611999999999</v>
      </c>
      <c r="U8" s="59">
        <f t="shared" si="3"/>
        <v>-207.11901</v>
      </c>
      <c r="V8" s="25">
        <f t="shared" si="4"/>
        <v>-118</v>
      </c>
    </row>
    <row r="9" spans="1:22" s="4" customFormat="1" x14ac:dyDescent="0.25">
      <c r="B9" s="122" t="s">
        <v>71</v>
      </c>
      <c r="C9" s="59">
        <v>-1055</v>
      </c>
      <c r="D9" s="59">
        <v>-546.89414447900003</v>
      </c>
      <c r="E9" s="59">
        <v>-877</v>
      </c>
      <c r="F9" s="59">
        <v>-84.976086649599992</v>
      </c>
      <c r="G9" s="59">
        <v>-199.36252122880001</v>
      </c>
      <c r="H9" s="59">
        <v>-342</v>
      </c>
      <c r="I9" s="59">
        <v>-8</v>
      </c>
      <c r="J9" s="59">
        <v>-10.515027059199998</v>
      </c>
      <c r="K9" s="59">
        <v>-12.3646754888</v>
      </c>
      <c r="L9" s="59">
        <v>-113</v>
      </c>
      <c r="M9" s="99">
        <v>-50</v>
      </c>
      <c r="N9" s="42">
        <f t="shared" si="0"/>
        <v>5.25</v>
      </c>
      <c r="O9" s="1"/>
      <c r="P9" s="59">
        <f>G9-F9</f>
        <v>-114.38643457920001</v>
      </c>
      <c r="Q9" s="59">
        <f t="shared" si="5"/>
        <v>-142.63747877119999</v>
      </c>
      <c r="R9" s="15">
        <f t="shared" si="1"/>
        <v>-8</v>
      </c>
      <c r="S9" s="59">
        <f t="shared" si="2"/>
        <v>-2.5150270591999977</v>
      </c>
      <c r="T9" s="59">
        <f t="shared" si="2"/>
        <v>-1.849648429600002</v>
      </c>
      <c r="U9" s="59">
        <f t="shared" si="3"/>
        <v>-100.6353245112</v>
      </c>
      <c r="V9" s="25">
        <f t="shared" si="4"/>
        <v>-50</v>
      </c>
    </row>
    <row r="10" spans="1:22" s="4" customFormat="1" ht="15.75" thickBot="1" x14ac:dyDescent="0.3">
      <c r="B10" s="122" t="s">
        <v>72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25">
        <v>0</v>
      </c>
      <c r="N10" s="42" t="s">
        <v>7</v>
      </c>
      <c r="O10" s="1"/>
      <c r="P10" s="15">
        <f>G10-F10</f>
        <v>0</v>
      </c>
      <c r="Q10" s="15">
        <f t="shared" si="5"/>
        <v>0</v>
      </c>
      <c r="R10" s="15">
        <f>I10</f>
        <v>0</v>
      </c>
      <c r="S10" s="15">
        <f t="shared" si="2"/>
        <v>0</v>
      </c>
      <c r="T10" s="15">
        <f t="shared" si="2"/>
        <v>0</v>
      </c>
      <c r="U10" s="15">
        <f t="shared" si="3"/>
        <v>0</v>
      </c>
      <c r="V10" s="25">
        <f>M10</f>
        <v>0</v>
      </c>
    </row>
    <row r="11" spans="1:22" s="4" customFormat="1" ht="15.75" thickBot="1" x14ac:dyDescent="0.3">
      <c r="B11" s="126" t="s">
        <v>73</v>
      </c>
      <c r="C11" s="100">
        <f>SUM(C6:C10)</f>
        <v>1186</v>
      </c>
      <c r="D11" s="100">
        <f>SUM(D6:D10)</f>
        <v>1003.9744355210007</v>
      </c>
      <c r="E11" s="100">
        <f>SUM(E6:E10)</f>
        <v>1116</v>
      </c>
      <c r="F11" s="100">
        <f t="shared" ref="F11:G11" si="6">SUM(F6:F10)</f>
        <v>247.78915335039915</v>
      </c>
      <c r="G11" s="100">
        <f t="shared" si="6"/>
        <v>379.24984877120119</v>
      </c>
      <c r="H11" s="100">
        <f t="shared" ref="H11:M11" si="7">SUM(H6:H10)</f>
        <v>663.99999999999977</v>
      </c>
      <c r="I11" s="100">
        <f t="shared" si="7"/>
        <v>94</v>
      </c>
      <c r="J11" s="100">
        <f t="shared" si="7"/>
        <v>464.49118294079932</v>
      </c>
      <c r="K11" s="100">
        <f t="shared" si="7"/>
        <v>596.55913451119898</v>
      </c>
      <c r="L11" s="106">
        <f t="shared" si="7"/>
        <v>681</v>
      </c>
      <c r="M11" s="116">
        <f t="shared" si="7"/>
        <v>264</v>
      </c>
      <c r="N11" s="47">
        <f>+M11/I11-1</f>
        <v>1.8085106382978724</v>
      </c>
      <c r="O11" s="1"/>
      <c r="P11" s="100">
        <f t="shared" ref="P11:S11" si="8">SUM(P6:P10)</f>
        <v>131.4606954208021</v>
      </c>
      <c r="Q11" s="100">
        <f t="shared" si="8"/>
        <v>284.75015122879853</v>
      </c>
      <c r="R11" s="100">
        <f t="shared" si="8"/>
        <v>94</v>
      </c>
      <c r="S11" s="100">
        <f t="shared" si="8"/>
        <v>370.49118294079921</v>
      </c>
      <c r="T11" s="100">
        <f>SUM(T6:T10)</f>
        <v>132.06795157039969</v>
      </c>
      <c r="U11" s="106">
        <f>SUM(U6:U10)</f>
        <v>84.44086548880108</v>
      </c>
      <c r="V11" s="101">
        <f>SUM(V6:V10)</f>
        <v>264</v>
      </c>
    </row>
    <row r="12" spans="1:22" s="4" customFormat="1" ht="9" customHeight="1" x14ac:dyDescent="0.25">
      <c r="B12" s="124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0"/>
      <c r="O12" s="1"/>
    </row>
    <row r="13" spans="1:22" s="4" customFormat="1" x14ac:dyDescent="0.25">
      <c r="B13" s="129"/>
      <c r="C13" s="61"/>
      <c r="D13" s="61"/>
      <c r="E13" s="61"/>
      <c r="F13" s="61"/>
      <c r="G13" s="61"/>
      <c r="H13" s="61"/>
      <c r="I13" s="136"/>
      <c r="J13" s="61"/>
      <c r="K13" s="61"/>
      <c r="L13" s="61"/>
      <c r="M13" s="61"/>
      <c r="N13" s="123" t="s">
        <v>63</v>
      </c>
      <c r="O13" s="1"/>
      <c r="V13" s="123" t="s">
        <v>63</v>
      </c>
    </row>
    <row r="14" spans="1:22" s="4" customFormat="1" x14ac:dyDescent="0.25">
      <c r="B14" s="129"/>
      <c r="C14" s="61"/>
      <c r="D14" s="61"/>
      <c r="E14" s="61"/>
      <c r="F14" s="61"/>
      <c r="G14" s="61"/>
      <c r="H14" s="61"/>
      <c r="I14" s="136"/>
      <c r="J14" s="61"/>
      <c r="K14" s="61"/>
      <c r="L14" s="61"/>
      <c r="M14" s="61"/>
      <c r="N14" s="61"/>
      <c r="O14" s="1"/>
    </row>
    <row r="15" spans="1:22" s="4" customFormat="1" x14ac:dyDescent="0.25">
      <c r="B15" s="124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0"/>
      <c r="O15" s="1"/>
    </row>
    <row r="16" spans="1:22" s="4" customFormat="1" ht="15.75" thickBot="1" x14ac:dyDescent="0.3">
      <c r="B16" s="128"/>
      <c r="C16" s="56" t="s">
        <v>6</v>
      </c>
      <c r="D16" s="56" t="s">
        <v>16</v>
      </c>
      <c r="E16" s="56" t="s">
        <v>3</v>
      </c>
      <c r="F16" s="56" t="s">
        <v>17</v>
      </c>
      <c r="G16" s="56" t="s">
        <v>14</v>
      </c>
      <c r="H16" s="56" t="s">
        <v>4</v>
      </c>
      <c r="I16" s="56" t="s">
        <v>132</v>
      </c>
      <c r="J16" s="56" t="s">
        <v>15</v>
      </c>
      <c r="K16" s="56" t="s">
        <v>13</v>
      </c>
      <c r="L16" s="56" t="s">
        <v>19</v>
      </c>
      <c r="M16" s="58" t="s">
        <v>136</v>
      </c>
      <c r="N16" s="46" t="s">
        <v>2</v>
      </c>
      <c r="O16" s="1"/>
      <c r="P16" s="56" t="s">
        <v>64</v>
      </c>
      <c r="Q16" s="56" t="s">
        <v>65</v>
      </c>
      <c r="R16" s="56" t="s">
        <v>133</v>
      </c>
      <c r="S16" s="56" t="s">
        <v>134</v>
      </c>
      <c r="T16" s="56" t="s">
        <v>66</v>
      </c>
      <c r="U16" s="56" t="s">
        <v>67</v>
      </c>
      <c r="V16" s="58" t="s">
        <v>137</v>
      </c>
    </row>
    <row r="17" spans="2:22" s="4" customFormat="1" x14ac:dyDescent="0.25">
      <c r="B17" s="122" t="s">
        <v>82</v>
      </c>
      <c r="C17" s="60">
        <f>-C7/C6</f>
        <v>6.9362363919129089E-2</v>
      </c>
      <c r="D17" s="60">
        <f>-D7/D6</f>
        <v>0.10172339947486983</v>
      </c>
      <c r="E17" s="60">
        <f>-E7/E6</f>
        <v>0.10771756978653531</v>
      </c>
      <c r="F17" s="60">
        <f t="shared" ref="F17" si="9">-F7/F6</f>
        <v>0.30338970004232363</v>
      </c>
      <c r="G17" s="60">
        <f t="shared" ref="G17" si="10">-G7/G6</f>
        <v>0.27837572023709384</v>
      </c>
      <c r="H17" s="60">
        <f t="shared" ref="H17:M17" si="11">-H7/H6</f>
        <v>0.14556331006979065</v>
      </c>
      <c r="I17" s="60">
        <f t="shared" si="11"/>
        <v>0.11728395061728394</v>
      </c>
      <c r="J17" s="60">
        <f t="shared" si="11"/>
        <v>4.6621558738511711E-2</v>
      </c>
      <c r="K17" s="60">
        <f t="shared" si="11"/>
        <v>3.5826147724684364E-2</v>
      </c>
      <c r="L17" s="60">
        <f t="shared" si="11"/>
        <v>0</v>
      </c>
      <c r="M17" s="63">
        <f t="shared" si="11"/>
        <v>0.10187110187110188</v>
      </c>
      <c r="N17" s="43">
        <f>(M17-I17)*100</f>
        <v>-1.5412848746182068</v>
      </c>
      <c r="O17" s="1"/>
      <c r="P17" s="60">
        <f t="shared" ref="P17" si="12">-P7/P6</f>
        <v>0.21402148982366256</v>
      </c>
      <c r="Q17" s="60">
        <f t="shared" ref="Q17:V17" si="13">-Q7/Q6</f>
        <v>-0.24248874504329476</v>
      </c>
      <c r="R17" s="60">
        <f t="shared" si="13"/>
        <v>0.11728395061728394</v>
      </c>
      <c r="S17" s="60">
        <f t="shared" si="13"/>
        <v>-1.7933807798114095E-2</v>
      </c>
      <c r="T17" s="60">
        <f t="shared" si="13"/>
        <v>1.5139426211818702E-2</v>
      </c>
      <c r="U17" s="60">
        <f t="shared" si="13"/>
        <v>-0.10417264403850857</v>
      </c>
      <c r="V17" s="63">
        <f t="shared" si="13"/>
        <v>0.10187110187110188</v>
      </c>
    </row>
    <row r="18" spans="2:22" s="4" customFormat="1" ht="15.75" thickBot="1" x14ac:dyDescent="0.3">
      <c r="B18" s="122" t="s">
        <v>83</v>
      </c>
      <c r="C18" s="60">
        <f>-(C9+C10+C8)/C6</f>
        <v>0.56174183514774489</v>
      </c>
      <c r="D18" s="60">
        <f>-(D9+D10+D8)/D6</f>
        <v>0.46629126320324277</v>
      </c>
      <c r="E18" s="60">
        <f>-(E9+E10+E8)/E6</f>
        <v>0.52577996715927755</v>
      </c>
      <c r="F18" s="60">
        <f t="shared" ref="F18" si="14">-(F9+F10+F8)/F6</f>
        <v>0.46636431572339704</v>
      </c>
      <c r="G18" s="60">
        <f t="shared" ref="G18" si="15">-(G9+G10+G8)/G6</f>
        <v>0.46786073656535432</v>
      </c>
      <c r="H18" s="60">
        <f t="shared" ref="H18:M18" si="16">-(H9+H10+H8)/H6</f>
        <v>0.52342971086739787</v>
      </c>
      <c r="I18" s="60">
        <f t="shared" si="16"/>
        <v>0.59259259259259256</v>
      </c>
      <c r="J18" s="60">
        <f t="shared" si="16"/>
        <v>0.26894521645210095</v>
      </c>
      <c r="K18" s="60">
        <f t="shared" si="16"/>
        <v>0.38656394435792912</v>
      </c>
      <c r="L18" s="60">
        <f t="shared" si="16"/>
        <v>0.50936599423631124</v>
      </c>
      <c r="M18" s="63">
        <f t="shared" si="16"/>
        <v>0.34927234927234929</v>
      </c>
      <c r="N18" s="43">
        <f t="shared" ref="N18:N19" si="17">(M18-I18)*100</f>
        <v>-24.332024332024325</v>
      </c>
      <c r="O18" s="1"/>
      <c r="P18" s="60">
        <f t="shared" ref="P18" si="18">-(P9+P10+P8)/P6</f>
        <v>0.47171062420453136</v>
      </c>
      <c r="Q18" s="60">
        <f t="shared" ref="Q18:V18" si="19">-(Q9+Q10+Q8)/Q6</f>
        <v>0.68579145591268842</v>
      </c>
      <c r="R18" s="60">
        <f t="shared" si="19"/>
        <v>0.59259259259259256</v>
      </c>
      <c r="S18" s="60">
        <f t="shared" si="19"/>
        <v>-2.6730806391999533E-2</v>
      </c>
      <c r="T18" s="60">
        <f t="shared" si="19"/>
        <v>0.61195099685355736</v>
      </c>
      <c r="U18" s="60">
        <f t="shared" si="19"/>
        <v>0.8664407857402191</v>
      </c>
      <c r="V18" s="63">
        <f t="shared" si="19"/>
        <v>0.34927234927234929</v>
      </c>
    </row>
    <row r="19" spans="2:22" s="4" customFormat="1" ht="15.75" thickBot="1" x14ac:dyDescent="0.3">
      <c r="B19" s="126" t="s">
        <v>84</v>
      </c>
      <c r="C19" s="64">
        <f>-(C7+C9+C10+C8)/C6</f>
        <v>0.63110419906687398</v>
      </c>
      <c r="D19" s="64">
        <f>-(D7+D9+D10+D8)/D6</f>
        <v>0.56801466267811263</v>
      </c>
      <c r="E19" s="64">
        <f>-(E7+E9+E10+E8)/E6</f>
        <v>0.63349753694581279</v>
      </c>
      <c r="F19" s="64">
        <f t="shared" ref="F19" si="20">-(F7+F9+F10+F8)/F6</f>
        <v>0.76975401576572067</v>
      </c>
      <c r="G19" s="64">
        <f t="shared" ref="G19" si="21">-(G7+G9+G10+G8)/G6</f>
        <v>0.74623645680244821</v>
      </c>
      <c r="H19" s="64">
        <f t="shared" ref="H19:M19" si="22">-(H7+H9+H10+H8)/H6</f>
        <v>0.66899302093718849</v>
      </c>
      <c r="I19" s="64">
        <f t="shared" si="22"/>
        <v>0.70987654320987659</v>
      </c>
      <c r="J19" s="64">
        <f t="shared" si="22"/>
        <v>0.31556677519061266</v>
      </c>
      <c r="K19" s="64">
        <f t="shared" si="22"/>
        <v>0.42239009208261352</v>
      </c>
      <c r="L19" s="64">
        <f t="shared" si="22"/>
        <v>0.50936599423631124</v>
      </c>
      <c r="M19" s="66">
        <f t="shared" si="22"/>
        <v>0.45114345114345117</v>
      </c>
      <c r="N19" s="48">
        <f t="shared" si="17"/>
        <v>-25.873309206642542</v>
      </c>
      <c r="O19" s="59"/>
      <c r="P19" s="64">
        <f t="shared" ref="P19:S19" si="23">-(P7+P9+P10+P8)/P6</f>
        <v>0.6857321140281939</v>
      </c>
      <c r="Q19" s="64">
        <f t="shared" si="23"/>
        <v>0.44330271086939366</v>
      </c>
      <c r="R19" s="64">
        <f t="shared" si="23"/>
        <v>0.70987654320987659</v>
      </c>
      <c r="S19" s="64">
        <f t="shared" si="23"/>
        <v>-4.4664614190113625E-2</v>
      </c>
      <c r="T19" s="64">
        <f>-(T7+T9+T10+T8)/T6</f>
        <v>0.6270904230653761</v>
      </c>
      <c r="U19" s="64">
        <f>-(U7+U9+U10+U8)/U6</f>
        <v>0.76226814170171053</v>
      </c>
      <c r="V19" s="66">
        <f>-(V7+V9+V10+V8)/V6</f>
        <v>0.45114345114345117</v>
      </c>
    </row>
    <row r="20" spans="2:22" s="4" customFormat="1" x14ac:dyDescent="0.25">
      <c r="B20" s="2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61"/>
    </row>
    <row r="21" spans="2:22" s="4" customFormat="1" x14ac:dyDescent="0.25">
      <c r="N21" s="6"/>
      <c r="O21" s="1"/>
    </row>
    <row r="22" spans="2:22" x14ac:dyDescent="0.2">
      <c r="P22" s="4"/>
      <c r="Q22" s="4"/>
      <c r="R22" s="4"/>
      <c r="S22" s="4"/>
      <c r="T22" s="4"/>
      <c r="U22" s="4"/>
      <c r="V22" s="4"/>
    </row>
  </sheetData>
  <hyperlinks>
    <hyperlink ref="A2" location="'Financial supplement&gt;&gt;&gt;'!A1" display="INDEX" xr:uid="{8F71E37C-406E-42CB-A228-B9145E3257F7}"/>
  </hyperlinks>
  <pageMargins left="0.7" right="0.7" top="0.75" bottom="0.75" header="0.3" footer="0.3"/>
  <pageSetup paperSize="9" scale="71" orientation="landscape" r:id="rId1"/>
  <ignoredErrors>
    <ignoredError sqref="K11:M11 C11:H11 I11:J11" formulaRange="1"/>
    <ignoredError sqref="R5:R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5" customWidth="1"/>
    <col min="2" max="2" width="39" style="5" customWidth="1"/>
    <col min="3" max="6" width="13.5703125" style="5" customWidth="1"/>
    <col min="7" max="7" width="10.85546875" style="5" bestFit="1" customWidth="1"/>
    <col min="8" max="8" width="9.7109375" style="5" customWidth="1"/>
    <col min="9" max="16384" width="10.85546875" style="5"/>
  </cols>
  <sheetData>
    <row r="1" spans="1:8" ht="16.5" customHeight="1" x14ac:dyDescent="0.2"/>
    <row r="2" spans="1:8" ht="18.75" customHeight="1" thickBot="1" x14ac:dyDescent="0.25">
      <c r="A2" s="90" t="s">
        <v>20</v>
      </c>
      <c r="B2" s="117" t="s">
        <v>89</v>
      </c>
      <c r="C2" s="21"/>
      <c r="D2" s="21"/>
      <c r="E2" s="21"/>
      <c r="F2" s="21"/>
      <c r="G2" s="21"/>
      <c r="H2" s="21"/>
    </row>
    <row r="4" spans="1:8" ht="14.25" thickBot="1" x14ac:dyDescent="0.25">
      <c r="B4" s="35"/>
      <c r="C4" s="44" t="s">
        <v>6</v>
      </c>
      <c r="D4" s="44" t="s">
        <v>3</v>
      </c>
      <c r="E4" s="44" t="s">
        <v>4</v>
      </c>
      <c r="F4" s="44" t="s">
        <v>19</v>
      </c>
      <c r="G4" s="144" t="s">
        <v>136</v>
      </c>
      <c r="H4" s="145"/>
    </row>
    <row r="5" spans="1:8" ht="13.5" x14ac:dyDescent="0.2">
      <c r="B5" s="119" t="s">
        <v>90</v>
      </c>
      <c r="C5" s="97">
        <f>C6+C13</f>
        <v>696945.09054</v>
      </c>
      <c r="D5" s="97">
        <f>D6+D13</f>
        <v>720797.13546999998</v>
      </c>
      <c r="E5" s="97">
        <f>E6+E13</f>
        <v>801209.28558999998</v>
      </c>
      <c r="F5" s="138">
        <f>F6+F13</f>
        <v>722005</v>
      </c>
      <c r="G5" s="107">
        <f>G6+G13</f>
        <v>688015</v>
      </c>
      <c r="H5" s="67">
        <f t="shared" ref="H5:H21" si="0">G5/G$22</f>
        <v>0.76252852492737855</v>
      </c>
    </row>
    <row r="6" spans="1:8" ht="13.5" x14ac:dyDescent="0.2">
      <c r="B6" s="130" t="s">
        <v>91</v>
      </c>
      <c r="C6" s="97">
        <f>SUM(C7:C12)</f>
        <v>397566.68119000003</v>
      </c>
      <c r="D6" s="97">
        <f>SUM(D7:D12)</f>
        <v>394655.81483999995</v>
      </c>
      <c r="E6" s="97">
        <f>SUM(E7:E12)</f>
        <v>438763.14398999995</v>
      </c>
      <c r="F6" s="138">
        <f>SUM(F7:F12)</f>
        <v>396345</v>
      </c>
      <c r="G6" s="107">
        <f>SUM(G7:G12)</f>
        <v>378930</v>
      </c>
      <c r="H6" s="67">
        <f t="shared" si="0"/>
        <v>0.41996894537289381</v>
      </c>
    </row>
    <row r="7" spans="1:8" ht="13.5" x14ac:dyDescent="0.2">
      <c r="B7" s="131" t="s">
        <v>92</v>
      </c>
      <c r="C7" s="108">
        <v>263898.88505000004</v>
      </c>
      <c r="D7" s="108">
        <v>247394.05644000001</v>
      </c>
      <c r="E7" s="108">
        <v>216811.94155999995</v>
      </c>
      <c r="F7" s="108">
        <v>184414</v>
      </c>
      <c r="G7" s="109">
        <v>178571</v>
      </c>
      <c r="H7" s="68">
        <f t="shared" si="0"/>
        <v>0.19791062872874415</v>
      </c>
    </row>
    <row r="8" spans="1:8" ht="13.5" x14ac:dyDescent="0.2">
      <c r="B8" s="131" t="s">
        <v>93</v>
      </c>
      <c r="C8" s="108">
        <v>80202.5</v>
      </c>
      <c r="D8" s="108">
        <v>91853.940789999993</v>
      </c>
      <c r="E8" s="108">
        <v>157271.44813</v>
      </c>
      <c r="F8" s="108">
        <v>150362</v>
      </c>
      <c r="G8" s="109">
        <v>141660</v>
      </c>
      <c r="H8" s="68">
        <f t="shared" si="0"/>
        <v>0.15700208693300646</v>
      </c>
    </row>
    <row r="9" spans="1:8" ht="13.5" x14ac:dyDescent="0.2">
      <c r="B9" s="131" t="s">
        <v>5</v>
      </c>
      <c r="C9" s="108">
        <v>47496.68894</v>
      </c>
      <c r="D9" s="108">
        <v>48972.218159999997</v>
      </c>
      <c r="E9" s="108">
        <v>57670.556810000002</v>
      </c>
      <c r="F9" s="108">
        <v>47717</v>
      </c>
      <c r="G9" s="109">
        <v>45892</v>
      </c>
      <c r="H9" s="68">
        <f t="shared" si="0"/>
        <v>5.0862203681558187E-2</v>
      </c>
    </row>
    <row r="10" spans="1:8" ht="13.5" x14ac:dyDescent="0.2">
      <c r="B10" s="131" t="s">
        <v>94</v>
      </c>
      <c r="C10" s="108">
        <v>4214.27945</v>
      </c>
      <c r="D10" s="108">
        <v>4648.5994499999997</v>
      </c>
      <c r="E10" s="114">
        <v>0</v>
      </c>
      <c r="F10" s="114">
        <v>0</v>
      </c>
      <c r="G10" s="115">
        <v>0</v>
      </c>
      <c r="H10" s="68">
        <f t="shared" si="0"/>
        <v>0</v>
      </c>
    </row>
    <row r="11" spans="1:8" ht="13.5" x14ac:dyDescent="0.2">
      <c r="B11" s="131" t="s">
        <v>95</v>
      </c>
      <c r="C11" s="108">
        <v>1754.3277499999999</v>
      </c>
      <c r="D11" s="108">
        <v>1787</v>
      </c>
      <c r="E11" s="108">
        <v>1629.18226</v>
      </c>
      <c r="F11" s="108">
        <v>2965</v>
      </c>
      <c r="G11" s="109">
        <v>970</v>
      </c>
      <c r="H11" s="68">
        <f t="shared" si="0"/>
        <v>1.0750531153820152E-3</v>
      </c>
    </row>
    <row r="12" spans="1:8" ht="13.5" x14ac:dyDescent="0.2">
      <c r="B12" s="131" t="s">
        <v>27</v>
      </c>
      <c r="C12" s="114">
        <v>0</v>
      </c>
      <c r="D12" s="114">
        <v>0</v>
      </c>
      <c r="E12" s="108">
        <v>5380.01523</v>
      </c>
      <c r="F12" s="108">
        <v>10887</v>
      </c>
      <c r="G12" s="109">
        <v>11837</v>
      </c>
      <c r="H12" s="68">
        <f t="shared" si="0"/>
        <v>1.3118972914203003E-2</v>
      </c>
    </row>
    <row r="13" spans="1:8" ht="13.5" x14ac:dyDescent="0.2">
      <c r="B13" s="130" t="s">
        <v>96</v>
      </c>
      <c r="C13" s="97">
        <f>SUM(C14:C17)</f>
        <v>299378.40934999997</v>
      </c>
      <c r="D13" s="97">
        <f>SUM(D14:D17)</f>
        <v>326141.32063000003</v>
      </c>
      <c r="E13" s="97">
        <f>SUM(E14:E17)</f>
        <v>362446.14160000003</v>
      </c>
      <c r="F13" s="138">
        <f>SUM(F14:F17)</f>
        <v>325660</v>
      </c>
      <c r="G13" s="107">
        <f>SUM(G14:G17)</f>
        <v>309085</v>
      </c>
      <c r="H13" s="67">
        <f t="shared" si="0"/>
        <v>0.34255957955448468</v>
      </c>
    </row>
    <row r="14" spans="1:8" ht="13.5" x14ac:dyDescent="0.2">
      <c r="B14" s="131" t="s">
        <v>92</v>
      </c>
      <c r="C14" s="108">
        <v>137460.92869</v>
      </c>
      <c r="D14" s="108">
        <v>169933.97990999999</v>
      </c>
      <c r="E14" s="108">
        <v>199091</v>
      </c>
      <c r="F14" s="108">
        <v>161222</v>
      </c>
      <c r="G14" s="109">
        <v>144168</v>
      </c>
      <c r="H14" s="68">
        <f t="shared" si="0"/>
        <v>0.15978170880246842</v>
      </c>
    </row>
    <row r="15" spans="1:8" ht="13.5" x14ac:dyDescent="0.2">
      <c r="B15" s="131" t="s">
        <v>97</v>
      </c>
      <c r="C15" s="108">
        <v>130336.4</v>
      </c>
      <c r="D15" s="108">
        <v>123472.05232</v>
      </c>
      <c r="E15" s="108">
        <v>137084.19157</v>
      </c>
      <c r="F15" s="108">
        <v>112100</v>
      </c>
      <c r="G15" s="109">
        <v>116304</v>
      </c>
      <c r="H15" s="68">
        <f t="shared" si="0"/>
        <v>0.12889997683648441</v>
      </c>
    </row>
    <row r="16" spans="1:8" ht="13.5" x14ac:dyDescent="0.2">
      <c r="B16" s="131" t="s">
        <v>131</v>
      </c>
      <c r="C16" s="114">
        <v>0</v>
      </c>
      <c r="D16" s="114">
        <v>0</v>
      </c>
      <c r="E16" s="114">
        <v>0</v>
      </c>
      <c r="F16" s="108">
        <v>22386</v>
      </c>
      <c r="G16" s="109">
        <v>20261</v>
      </c>
      <c r="H16" s="68">
        <f t="shared" si="0"/>
        <v>2.2455310485314441E-2</v>
      </c>
    </row>
    <row r="17" spans="2:8" ht="13.5" x14ac:dyDescent="0.2">
      <c r="B17" s="131" t="s">
        <v>98</v>
      </c>
      <c r="C17" s="108">
        <v>31581.080659999996</v>
      </c>
      <c r="D17" s="108">
        <v>32735.288400000001</v>
      </c>
      <c r="E17" s="108">
        <v>26270.950030000004</v>
      </c>
      <c r="F17" s="108">
        <v>29952</v>
      </c>
      <c r="G17" s="109">
        <v>28352</v>
      </c>
      <c r="H17" s="68">
        <f t="shared" si="0"/>
        <v>3.1422583430217414E-2</v>
      </c>
    </row>
    <row r="18" spans="2:8" ht="13.5" x14ac:dyDescent="0.2">
      <c r="B18" s="119" t="s">
        <v>99</v>
      </c>
      <c r="C18" s="97">
        <v>45094</v>
      </c>
      <c r="D18" s="97">
        <v>59231</v>
      </c>
      <c r="E18" s="97">
        <v>60536</v>
      </c>
      <c r="F18" s="138">
        <v>75237</v>
      </c>
      <c r="G18" s="107">
        <v>75805</v>
      </c>
      <c r="H18" s="67">
        <f t="shared" si="0"/>
        <v>8.401484681601408E-2</v>
      </c>
    </row>
    <row r="19" spans="2:8" ht="13.5" x14ac:dyDescent="0.2">
      <c r="B19" s="131" t="s">
        <v>100</v>
      </c>
      <c r="C19" s="108">
        <v>10300</v>
      </c>
      <c r="D19" s="108">
        <v>19416</v>
      </c>
      <c r="E19" s="108">
        <v>19795</v>
      </c>
      <c r="F19" s="108">
        <v>19654</v>
      </c>
      <c r="G19" s="109">
        <v>19252</v>
      </c>
      <c r="H19" s="68">
        <f t="shared" si="0"/>
        <v>2.1337033584880986E-2</v>
      </c>
    </row>
    <row r="20" spans="2:8" ht="13.5" x14ac:dyDescent="0.2">
      <c r="B20" s="119" t="s">
        <v>101</v>
      </c>
      <c r="C20" s="97">
        <v>43669</v>
      </c>
      <c r="D20" s="97">
        <v>57457</v>
      </c>
      <c r="E20" s="97">
        <v>65319</v>
      </c>
      <c r="F20" s="138">
        <v>78726</v>
      </c>
      <c r="G20" s="107">
        <v>73197</v>
      </c>
      <c r="H20" s="67">
        <f t="shared" si="0"/>
        <v>8.1124394728471508E-2</v>
      </c>
    </row>
    <row r="21" spans="2:8" ht="14.25" thickBot="1" x14ac:dyDescent="0.25">
      <c r="B21" s="119" t="s">
        <v>102</v>
      </c>
      <c r="C21" s="97">
        <v>67458</v>
      </c>
      <c r="D21" s="97">
        <v>66670</v>
      </c>
      <c r="E21" s="97">
        <v>65947.506580000001</v>
      </c>
      <c r="F21" s="138">
        <v>65457</v>
      </c>
      <c r="G21" s="107">
        <v>65264</v>
      </c>
      <c r="H21" s="67">
        <f t="shared" si="0"/>
        <v>7.233223352813592E-2</v>
      </c>
    </row>
    <row r="22" spans="2:8" ht="13.5" x14ac:dyDescent="0.2">
      <c r="B22" s="132" t="s">
        <v>103</v>
      </c>
      <c r="C22" s="110">
        <f t="shared" ref="C22:H22" si="1">C5+C18+C20+C21</f>
        <v>853166.09054</v>
      </c>
      <c r="D22" s="110">
        <f t="shared" si="1"/>
        <v>904155.13546999998</v>
      </c>
      <c r="E22" s="110">
        <f t="shared" si="1"/>
        <v>993011.79217000003</v>
      </c>
      <c r="F22" s="110">
        <f>F5+F18+F20+F21</f>
        <v>941425</v>
      </c>
      <c r="G22" s="111">
        <f t="shared" ref="G22" si="2">G5+G18+G20+G21</f>
        <v>902281</v>
      </c>
      <c r="H22" s="93">
        <f t="shared" si="1"/>
        <v>1.0000000000000002</v>
      </c>
    </row>
    <row r="23" spans="2:8" ht="14.25" thickBot="1" x14ac:dyDescent="0.25">
      <c r="B23" s="133" t="s">
        <v>104</v>
      </c>
      <c r="C23" s="97">
        <v>166776</v>
      </c>
      <c r="D23" s="97">
        <v>144937</v>
      </c>
      <c r="E23" s="97">
        <v>162500</v>
      </c>
      <c r="F23" s="138">
        <v>115788</v>
      </c>
      <c r="G23" s="107">
        <v>120778</v>
      </c>
      <c r="H23" s="94" t="s">
        <v>7</v>
      </c>
    </row>
    <row r="24" spans="2:8" ht="14.25" thickBot="1" x14ac:dyDescent="0.25">
      <c r="B24" s="121" t="s">
        <v>1</v>
      </c>
      <c r="C24" s="112">
        <f t="shared" ref="C24:F24" si="3">C22+C23</f>
        <v>1019942.09054</v>
      </c>
      <c r="D24" s="112">
        <f t="shared" si="3"/>
        <v>1049092.1354700001</v>
      </c>
      <c r="E24" s="112">
        <f t="shared" si="3"/>
        <v>1155511.79217</v>
      </c>
      <c r="F24" s="112">
        <f t="shared" si="3"/>
        <v>1057213</v>
      </c>
      <c r="G24" s="113">
        <f>G22+G23</f>
        <v>1023059</v>
      </c>
      <c r="H24" s="69" t="s">
        <v>7</v>
      </c>
    </row>
    <row r="25" spans="2:8" ht="9" customHeight="1" x14ac:dyDescent="0.2">
      <c r="B25" s="29"/>
      <c r="C25" s="38"/>
      <c r="D25" s="38"/>
      <c r="E25" s="38"/>
      <c r="F25" s="38"/>
      <c r="G25" s="143"/>
      <c r="H25" s="143"/>
    </row>
    <row r="26" spans="2:8" ht="13.5" x14ac:dyDescent="0.2">
      <c r="B26" s="31"/>
      <c r="C26" s="31"/>
      <c r="D26" s="31"/>
      <c r="E26" s="31"/>
      <c r="F26" s="31"/>
      <c r="G26" s="38"/>
      <c r="H26" s="123" t="s">
        <v>63</v>
      </c>
    </row>
    <row r="29" spans="2:8" ht="14.25" thickBot="1" x14ac:dyDescent="0.25">
      <c r="B29" s="73" t="s">
        <v>90</v>
      </c>
      <c r="C29" s="44" t="s">
        <v>6</v>
      </c>
      <c r="D29" s="44" t="s">
        <v>3</v>
      </c>
      <c r="E29" s="44" t="s">
        <v>4</v>
      </c>
      <c r="F29" s="44" t="s">
        <v>19</v>
      </c>
      <c r="G29" s="144" t="s">
        <v>136</v>
      </c>
      <c r="H29" s="145"/>
    </row>
    <row r="30" spans="2:8" ht="13.5" x14ac:dyDescent="0.2">
      <c r="B30" s="134" t="s">
        <v>8</v>
      </c>
      <c r="C30" s="108">
        <v>1754.3277499999999</v>
      </c>
      <c r="D30" s="108">
        <v>1787.1552300000001</v>
      </c>
      <c r="E30" s="108">
        <v>3072.0408299999999</v>
      </c>
      <c r="F30" s="108">
        <v>6342</v>
      </c>
      <c r="G30" s="109">
        <v>5441</v>
      </c>
      <c r="H30" s="68">
        <f>G30/$G$36</f>
        <v>7.9082578141464934E-3</v>
      </c>
    </row>
    <row r="31" spans="2:8" ht="13.5" x14ac:dyDescent="0.2">
      <c r="B31" s="134" t="s">
        <v>9</v>
      </c>
      <c r="C31" s="108">
        <v>11947.257000000001</v>
      </c>
      <c r="D31" s="108">
        <v>3784.2071800000003</v>
      </c>
      <c r="E31" s="108">
        <v>7381.8541700000005</v>
      </c>
      <c r="F31" s="108">
        <v>10093</v>
      </c>
      <c r="G31" s="109">
        <v>9798</v>
      </c>
      <c r="H31" s="68">
        <f t="shared" ref="H31:H35" si="4">G31/$G$36</f>
        <v>1.4240968583533789E-2</v>
      </c>
    </row>
    <row r="32" spans="2:8" ht="13.5" x14ac:dyDescent="0.2">
      <c r="B32" s="134" t="s">
        <v>10</v>
      </c>
      <c r="C32" s="108">
        <v>317688.88505000004</v>
      </c>
      <c r="D32" s="108">
        <v>301027.18516999995</v>
      </c>
      <c r="E32" s="108">
        <v>353119.78262999991</v>
      </c>
      <c r="F32" s="108">
        <v>296736</v>
      </c>
      <c r="G32" s="109">
        <v>289662</v>
      </c>
      <c r="H32" s="68">
        <f t="shared" si="4"/>
        <v>0.42101116981461162</v>
      </c>
    </row>
    <row r="33" spans="2:8" ht="13.5" x14ac:dyDescent="0.2">
      <c r="B33" s="134" t="s">
        <v>11</v>
      </c>
      <c r="C33" s="108">
        <v>259911.57834000001</v>
      </c>
      <c r="D33" s="108">
        <v>354378.54846999998</v>
      </c>
      <c r="E33" s="108">
        <v>380743.04191000003</v>
      </c>
      <c r="F33" s="108">
        <v>363123</v>
      </c>
      <c r="G33" s="109">
        <v>340159</v>
      </c>
      <c r="H33" s="68">
        <f t="shared" si="4"/>
        <v>0.49440637195409981</v>
      </c>
    </row>
    <row r="34" spans="2:8" ht="13.5" x14ac:dyDescent="0.2">
      <c r="B34" s="134" t="s">
        <v>105</v>
      </c>
      <c r="C34" s="108">
        <v>88362</v>
      </c>
      <c r="D34" s="108">
        <v>21373.307949999999</v>
      </c>
      <c r="E34" s="108">
        <v>26532.45349</v>
      </c>
      <c r="F34" s="108">
        <v>27990</v>
      </c>
      <c r="G34" s="109">
        <v>27672</v>
      </c>
      <c r="H34" s="68">
        <f t="shared" si="4"/>
        <v>4.0220053341860282E-2</v>
      </c>
    </row>
    <row r="35" spans="2:8" ht="14.25" thickBot="1" x14ac:dyDescent="0.25">
      <c r="B35" s="74" t="s">
        <v>106</v>
      </c>
      <c r="C35" s="108">
        <v>17281</v>
      </c>
      <c r="D35" s="108">
        <v>38446.88670000001</v>
      </c>
      <c r="E35" s="108">
        <v>30360</v>
      </c>
      <c r="F35" s="108">
        <v>17721</v>
      </c>
      <c r="G35" s="109">
        <v>15283</v>
      </c>
      <c r="H35" s="68">
        <f t="shared" si="4"/>
        <v>2.2213178491748E-2</v>
      </c>
    </row>
    <row r="36" spans="2:8" ht="14.25" thickBot="1" x14ac:dyDescent="0.25">
      <c r="B36" s="121" t="s">
        <v>1</v>
      </c>
      <c r="C36" s="112">
        <f>SUM(C30:C35)</f>
        <v>696945.04814000009</v>
      </c>
      <c r="D36" s="112">
        <f t="shared" ref="D36:F36" si="5">SUM(D30:D35)</f>
        <v>720797.29070000001</v>
      </c>
      <c r="E36" s="112">
        <f t="shared" si="5"/>
        <v>801209.17302999995</v>
      </c>
      <c r="F36" s="112">
        <f t="shared" si="5"/>
        <v>722005</v>
      </c>
      <c r="G36" s="113">
        <f>SUM(G30:G35)</f>
        <v>688015</v>
      </c>
      <c r="H36" s="69">
        <f>SUM(H30:H35)</f>
        <v>1</v>
      </c>
    </row>
    <row r="37" spans="2:8" ht="9" customHeight="1" x14ac:dyDescent="0.2">
      <c r="B37" s="29"/>
      <c r="C37" s="38"/>
      <c r="D37" s="38"/>
      <c r="E37" s="38"/>
      <c r="F37" s="38"/>
      <c r="G37" s="143"/>
      <c r="H37" s="143"/>
    </row>
    <row r="38" spans="2:8" ht="13.5" x14ac:dyDescent="0.2">
      <c r="H38" s="123" t="s">
        <v>63</v>
      </c>
    </row>
    <row r="41" spans="2:8" ht="14.25" thickBot="1" x14ac:dyDescent="0.25">
      <c r="B41" s="73" t="s">
        <v>99</v>
      </c>
      <c r="C41" s="44" t="s">
        <v>6</v>
      </c>
      <c r="D41" s="44" t="s">
        <v>3</v>
      </c>
      <c r="E41" s="44" t="s">
        <v>4</v>
      </c>
      <c r="F41" s="44" t="s">
        <v>19</v>
      </c>
      <c r="G41" s="144" t="s">
        <v>136</v>
      </c>
      <c r="H41" s="145"/>
    </row>
    <row r="42" spans="2:8" ht="13.5" x14ac:dyDescent="0.2">
      <c r="B42" s="134" t="s">
        <v>107</v>
      </c>
      <c r="C42" s="108">
        <v>10300</v>
      </c>
      <c r="D42" s="108">
        <v>32761.487000000001</v>
      </c>
      <c r="E42" s="108">
        <v>20803</v>
      </c>
      <c r="F42" s="108">
        <v>43352</v>
      </c>
      <c r="G42" s="109">
        <v>40652</v>
      </c>
      <c r="H42" s="68">
        <f>G42/$G$53</f>
        <v>0.5362706945452147</v>
      </c>
    </row>
    <row r="43" spans="2:8" ht="13.5" x14ac:dyDescent="0.2">
      <c r="B43" s="135" t="s">
        <v>100</v>
      </c>
      <c r="C43" s="108">
        <v>10300</v>
      </c>
      <c r="D43" s="108">
        <v>19416.487000000001</v>
      </c>
      <c r="E43" s="108">
        <v>19795</v>
      </c>
      <c r="F43" s="108">
        <v>19654</v>
      </c>
      <c r="G43" s="109">
        <v>19252</v>
      </c>
      <c r="H43" s="68">
        <f t="shared" ref="H43:H52" si="6">G43/$G$53</f>
        <v>0.25396741639733528</v>
      </c>
    </row>
    <row r="44" spans="2:8" ht="13.5" x14ac:dyDescent="0.2">
      <c r="B44" s="134" t="s">
        <v>108</v>
      </c>
      <c r="C44" s="108">
        <v>9142</v>
      </c>
      <c r="D44" s="108">
        <v>5850.9550600000002</v>
      </c>
      <c r="E44" s="108">
        <v>18320</v>
      </c>
      <c r="F44" s="108">
        <v>5778</v>
      </c>
      <c r="G44" s="109">
        <v>10486</v>
      </c>
      <c r="H44" s="68">
        <f t="shared" si="6"/>
        <v>0.13832860629246091</v>
      </c>
    </row>
    <row r="45" spans="2:8" ht="13.5" x14ac:dyDescent="0.2">
      <c r="B45" s="134" t="s">
        <v>109</v>
      </c>
      <c r="C45" s="108">
        <v>5385</v>
      </c>
      <c r="D45" s="108">
        <v>5567.7613636297901</v>
      </c>
      <c r="E45" s="108">
        <v>5304</v>
      </c>
      <c r="F45" s="108">
        <v>5461</v>
      </c>
      <c r="G45" s="109">
        <v>5273</v>
      </c>
      <c r="H45" s="68">
        <f t="shared" si="6"/>
        <v>6.9560055405316276E-2</v>
      </c>
    </row>
    <row r="46" spans="2:8" ht="13.5" x14ac:dyDescent="0.2">
      <c r="B46" s="134" t="s">
        <v>12</v>
      </c>
      <c r="C46" s="108">
        <v>4490</v>
      </c>
      <c r="D46" s="108">
        <v>4964.6156432375501</v>
      </c>
      <c r="E46" s="108">
        <v>6155</v>
      </c>
      <c r="F46" s="108">
        <v>10515</v>
      </c>
      <c r="G46" s="109">
        <v>9251</v>
      </c>
      <c r="H46" s="68">
        <f t="shared" si="6"/>
        <v>0.12203680496009497</v>
      </c>
    </row>
    <row r="47" spans="2:8" ht="13.5" x14ac:dyDescent="0.2">
      <c r="B47" s="134" t="s">
        <v>110</v>
      </c>
      <c r="C47" s="108">
        <v>1336</v>
      </c>
      <c r="D47" s="108">
        <v>3889.5391</v>
      </c>
      <c r="E47" s="108">
        <v>1302</v>
      </c>
      <c r="F47" s="108">
        <v>1410</v>
      </c>
      <c r="G47" s="109">
        <v>1471</v>
      </c>
      <c r="H47" s="68">
        <f t="shared" si="6"/>
        <v>1.940505243717433E-2</v>
      </c>
    </row>
    <row r="48" spans="2:8" ht="13.5" x14ac:dyDescent="0.2">
      <c r="B48" s="134" t="s">
        <v>111</v>
      </c>
      <c r="C48" s="108">
        <v>4544</v>
      </c>
      <c r="D48" s="108">
        <v>3702.924</v>
      </c>
      <c r="E48" s="108">
        <v>3394</v>
      </c>
      <c r="F48" s="114">
        <v>0</v>
      </c>
      <c r="G48" s="115">
        <v>0</v>
      </c>
      <c r="H48" s="68">
        <f t="shared" si="6"/>
        <v>0</v>
      </c>
    </row>
    <row r="49" spans="2:8" ht="13.5" x14ac:dyDescent="0.2">
      <c r="B49" s="134" t="s">
        <v>112</v>
      </c>
      <c r="C49" s="108">
        <v>3986</v>
      </c>
      <c r="D49" s="108">
        <v>1169.0634</v>
      </c>
      <c r="E49" s="114">
        <v>0</v>
      </c>
      <c r="F49" s="114">
        <v>1454</v>
      </c>
      <c r="G49" s="115">
        <v>1415</v>
      </c>
      <c r="H49" s="68">
        <f t="shared" si="6"/>
        <v>1.8666314886880812E-2</v>
      </c>
    </row>
    <row r="50" spans="2:8" ht="13.5" x14ac:dyDescent="0.2">
      <c r="B50" s="134" t="s">
        <v>113</v>
      </c>
      <c r="C50" s="108">
        <v>4202</v>
      </c>
      <c r="D50" s="108">
        <v>1159.7223603899999</v>
      </c>
      <c r="E50" s="108">
        <v>3612</v>
      </c>
      <c r="F50" s="108">
        <v>5293</v>
      </c>
      <c r="G50" s="109">
        <v>4951</v>
      </c>
      <c r="H50" s="68">
        <f t="shared" si="6"/>
        <v>6.5312314491128551E-2</v>
      </c>
    </row>
    <row r="51" spans="2:8" ht="13.5" x14ac:dyDescent="0.2">
      <c r="B51" s="134" t="s">
        <v>114</v>
      </c>
      <c r="C51" s="108">
        <v>1709</v>
      </c>
      <c r="D51" s="108">
        <v>164.73599999999999</v>
      </c>
      <c r="E51" s="108">
        <v>1137</v>
      </c>
      <c r="F51" s="108">
        <v>1333</v>
      </c>
      <c r="G51" s="109">
        <v>1745</v>
      </c>
      <c r="H51" s="68">
        <f t="shared" si="6"/>
        <v>2.3019589736824747E-2</v>
      </c>
    </row>
    <row r="52" spans="2:8" ht="14.25" thickBot="1" x14ac:dyDescent="0.25">
      <c r="B52" s="74" t="s">
        <v>115</v>
      </c>
      <c r="C52" s="114">
        <v>0</v>
      </c>
      <c r="D52" s="114">
        <v>0</v>
      </c>
      <c r="E52" s="108">
        <v>509</v>
      </c>
      <c r="F52" s="108">
        <v>641</v>
      </c>
      <c r="G52" s="109">
        <v>561</v>
      </c>
      <c r="H52" s="68">
        <f t="shared" si="6"/>
        <v>7.4005672449046897E-3</v>
      </c>
    </row>
    <row r="53" spans="2:8" ht="14.25" thickBot="1" x14ac:dyDescent="0.25">
      <c r="B53" s="121" t="s">
        <v>1</v>
      </c>
      <c r="C53" s="112">
        <f t="shared" ref="C53" si="7">SUM(C42,C44:C52)</f>
        <v>45094</v>
      </c>
      <c r="D53" s="112">
        <f>SUM(D42,D44:D52)</f>
        <v>59230.803927257337</v>
      </c>
      <c r="E53" s="112">
        <f t="shared" ref="E53:H53" si="8">SUM(E42,E44:E52)</f>
        <v>60536</v>
      </c>
      <c r="F53" s="112">
        <f t="shared" si="8"/>
        <v>75237</v>
      </c>
      <c r="G53" s="113">
        <f t="shared" si="8"/>
        <v>75805</v>
      </c>
      <c r="H53" s="69">
        <f t="shared" si="8"/>
        <v>0.99999999999999989</v>
      </c>
    </row>
    <row r="54" spans="2:8" ht="9" customHeight="1" x14ac:dyDescent="0.2">
      <c r="B54" s="29"/>
      <c r="C54" s="38"/>
      <c r="D54" s="38"/>
      <c r="E54" s="38"/>
      <c r="F54" s="38"/>
      <c r="G54" s="143"/>
      <c r="H54" s="143"/>
    </row>
    <row r="55" spans="2:8" ht="13.5" x14ac:dyDescent="0.2">
      <c r="H55" s="123" t="s">
        <v>63</v>
      </c>
    </row>
  </sheetData>
  <mergeCells count="6">
    <mergeCell ref="G54:H54"/>
    <mergeCell ref="G25:H25"/>
    <mergeCell ref="G4:H4"/>
    <mergeCell ref="G29:H29"/>
    <mergeCell ref="G41:H41"/>
    <mergeCell ref="G37:H37"/>
  </mergeCells>
  <hyperlinks>
    <hyperlink ref="A2" location="'Financial supplement&gt;&gt;&gt;'!A1" display="INDEX" xr:uid="{2327C051-3477-4BDF-9BD5-9809BAAF9967}"/>
  </hyperlinks>
  <pageMargins left="0.7" right="0.7" top="0.75" bottom="0.75" header="0.3" footer="0.3"/>
  <pageSetup paperSize="9" scale="79" orientation="portrait" r:id="rId1"/>
  <ignoredErrors>
    <ignoredError sqref="G13:H13 C13:F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Investments</vt:lpstr>
      <vt:lpstr>Solvency</vt:lpstr>
      <vt:lpstr>'Balance sheet'!Área_de_impresión</vt:lpstr>
      <vt:lpstr>Motor!Área_de_impresión</vt:lpstr>
      <vt:lpstr>Other!Área_de_impresión</vt:lpstr>
      <vt:lpstr>'P&amp;L'!Área_de_impresión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2022-04-21T15:26:42Z</dcterms:modified>
</cp:coreProperties>
</file>