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1\12M 2021\4. Suplemento Financiero\"/>
    </mc:Choice>
  </mc:AlternateContent>
  <xr:revisionPtr revIDLastSave="0" documentId="13_ncr:1_{7FA6AD64-53B9-4694-BAD9-E724B8168FE0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1">'Balance sheet'!$A$1:$F$36</definedName>
    <definedName name="_xlnm.Print_Area" localSheetId="4">Motor!$A$1:$T$18</definedName>
    <definedName name="_xlnm.Print_Area" localSheetId="7">Other!$A$1:$T$19</definedName>
    <definedName name="_xlnm.Print_Area" localSheetId="2">'P&amp;L'!$A$1:$S$26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2" l="1"/>
  <c r="Q10" i="22"/>
  <c r="R9" i="22"/>
  <c r="R18" i="22" s="1"/>
  <c r="Q9" i="22"/>
  <c r="R8" i="22"/>
  <c r="Q8" i="22"/>
  <c r="R7" i="22"/>
  <c r="Q7" i="22"/>
  <c r="Q11" i="22" s="1"/>
  <c r="R6" i="22"/>
  <c r="R11" i="22" s="1"/>
  <c r="Q6" i="22"/>
  <c r="R5" i="22"/>
  <c r="Q5" i="22"/>
  <c r="I19" i="22"/>
  <c r="I18" i="22"/>
  <c r="I17" i="22"/>
  <c r="I11" i="22"/>
  <c r="I18" i="21"/>
  <c r="I17" i="21"/>
  <c r="I16" i="21"/>
  <c r="I10" i="21"/>
  <c r="R9" i="21"/>
  <c r="Q9" i="21"/>
  <c r="R8" i="21"/>
  <c r="Q8" i="21"/>
  <c r="R7" i="21"/>
  <c r="Q7" i="21"/>
  <c r="R6" i="21"/>
  <c r="R10" i="21" s="1"/>
  <c r="Q6" i="21"/>
  <c r="R5" i="21"/>
  <c r="Q5" i="21"/>
  <c r="R9" i="20"/>
  <c r="R10" i="20" s="1"/>
  <c r="Q9" i="20"/>
  <c r="R8" i="20"/>
  <c r="Q8" i="20"/>
  <c r="R7" i="20"/>
  <c r="Q7" i="20"/>
  <c r="R6" i="20"/>
  <c r="Q6" i="20"/>
  <c r="Q10" i="20" s="1"/>
  <c r="R5" i="20"/>
  <c r="Q5" i="20"/>
  <c r="I18" i="20"/>
  <c r="I17" i="20"/>
  <c r="I16" i="20"/>
  <c r="I10" i="20"/>
  <c r="R9" i="14"/>
  <c r="R18" i="14" s="1"/>
  <c r="Q9" i="14"/>
  <c r="Q18" i="14" s="1"/>
  <c r="R8" i="14"/>
  <c r="Q8" i="14"/>
  <c r="R7" i="14"/>
  <c r="R16" i="14" s="1"/>
  <c r="Q7" i="14"/>
  <c r="R6" i="14"/>
  <c r="Q6" i="14"/>
  <c r="Q16" i="14" s="1"/>
  <c r="R5" i="14"/>
  <c r="Q5" i="14"/>
  <c r="I18" i="14"/>
  <c r="I17" i="14"/>
  <c r="I16" i="14"/>
  <c r="I10" i="14"/>
  <c r="V10" i="13"/>
  <c r="U10" i="13"/>
  <c r="I10" i="13"/>
  <c r="Q17" i="25"/>
  <c r="P17" i="25"/>
  <c r="Q15" i="25"/>
  <c r="P15" i="25"/>
  <c r="Q12" i="25"/>
  <c r="P12" i="25"/>
  <c r="Q11" i="25"/>
  <c r="P11" i="25"/>
  <c r="P10" i="25"/>
  <c r="Q9" i="25"/>
  <c r="P9" i="25"/>
  <c r="Q8" i="25"/>
  <c r="Q25" i="25" s="1"/>
  <c r="P8" i="25"/>
  <c r="Q7" i="25"/>
  <c r="Q24" i="25" s="1"/>
  <c r="P7" i="25"/>
  <c r="Q6" i="25"/>
  <c r="P6" i="25"/>
  <c r="Q5" i="25"/>
  <c r="P5" i="25"/>
  <c r="I26" i="25"/>
  <c r="I25" i="25"/>
  <c r="I24" i="25"/>
  <c r="I13" i="25"/>
  <c r="P13" i="25" s="1"/>
  <c r="I10" i="25"/>
  <c r="I14" i="25" s="1"/>
  <c r="I16" i="25" s="1"/>
  <c r="I18" i="25" s="1"/>
  <c r="Q18" i="25" s="1"/>
  <c r="F9" i="23"/>
  <c r="G16" i="19"/>
  <c r="F13" i="19"/>
  <c r="L11" i="22"/>
  <c r="L10" i="21"/>
  <c r="L10" i="20"/>
  <c r="L10" i="14"/>
  <c r="X10" i="13"/>
  <c r="L10" i="13"/>
  <c r="L13" i="25"/>
  <c r="L10" i="25"/>
  <c r="F33" i="24"/>
  <c r="F34" i="24" s="1"/>
  <c r="F30" i="24"/>
  <c r="F24" i="24"/>
  <c r="F16" i="24"/>
  <c r="F11" i="24"/>
  <c r="F6" i="24"/>
  <c r="AK10" i="13"/>
  <c r="AK9" i="13"/>
  <c r="AK8" i="13"/>
  <c r="AK7" i="13"/>
  <c r="AK6" i="13"/>
  <c r="M9" i="20"/>
  <c r="M8" i="20"/>
  <c r="M7" i="20"/>
  <c r="M6" i="20"/>
  <c r="M5" i="20"/>
  <c r="M9" i="21"/>
  <c r="M8" i="21"/>
  <c r="M7" i="21"/>
  <c r="M6" i="21"/>
  <c r="M5" i="21"/>
  <c r="M9" i="22"/>
  <c r="M8" i="22"/>
  <c r="M7" i="22"/>
  <c r="M6" i="22"/>
  <c r="M5" i="22"/>
  <c r="T10" i="22"/>
  <c r="P10" i="22"/>
  <c r="L19" i="22"/>
  <c r="T9" i="21"/>
  <c r="T8" i="21"/>
  <c r="T7" i="21"/>
  <c r="T6" i="21"/>
  <c r="T5" i="21"/>
  <c r="T9" i="22"/>
  <c r="T8" i="22"/>
  <c r="T7" i="22"/>
  <c r="T6" i="22"/>
  <c r="T5" i="22"/>
  <c r="T9" i="20"/>
  <c r="T8" i="20"/>
  <c r="T7" i="20"/>
  <c r="T6" i="20"/>
  <c r="T5" i="20"/>
  <c r="P9" i="21"/>
  <c r="P8" i="21"/>
  <c r="P7" i="21"/>
  <c r="P6" i="21"/>
  <c r="P9" i="22"/>
  <c r="P8" i="22"/>
  <c r="P7" i="22"/>
  <c r="P6" i="22"/>
  <c r="P9" i="20"/>
  <c r="P8" i="20"/>
  <c r="P7" i="20"/>
  <c r="P6" i="20"/>
  <c r="P5" i="21"/>
  <c r="P5" i="22"/>
  <c r="P5" i="20"/>
  <c r="L18" i="21"/>
  <c r="L17" i="21"/>
  <c r="L16" i="21"/>
  <c r="L18" i="22"/>
  <c r="L17" i="22"/>
  <c r="L18" i="20"/>
  <c r="L17" i="20"/>
  <c r="L16" i="20"/>
  <c r="T9" i="14"/>
  <c r="T8" i="14"/>
  <c r="T7" i="14"/>
  <c r="T6" i="14"/>
  <c r="T10" i="14" s="1"/>
  <c r="P9" i="14"/>
  <c r="P10" i="14" s="1"/>
  <c r="P8" i="14"/>
  <c r="P7" i="14"/>
  <c r="P6" i="14"/>
  <c r="T5" i="14"/>
  <c r="P5" i="14"/>
  <c r="M9" i="14"/>
  <c r="M8" i="14"/>
  <c r="M7" i="14"/>
  <c r="M6" i="14"/>
  <c r="M5" i="14"/>
  <c r="L18" i="14"/>
  <c r="L17" i="14"/>
  <c r="L16" i="14"/>
  <c r="Y9" i="13"/>
  <c r="Y8" i="13"/>
  <c r="Y7" i="13"/>
  <c r="Y6" i="13"/>
  <c r="M9" i="13"/>
  <c r="M8" i="13"/>
  <c r="M7" i="13"/>
  <c r="M6" i="13"/>
  <c r="S17" i="25"/>
  <c r="S15" i="25"/>
  <c r="S12" i="25"/>
  <c r="S11" i="25"/>
  <c r="S9" i="25"/>
  <c r="S8" i="25"/>
  <c r="S7" i="25"/>
  <c r="S6" i="25"/>
  <c r="S25" i="25" s="1"/>
  <c r="S5" i="25"/>
  <c r="O17" i="25"/>
  <c r="O15" i="25"/>
  <c r="O12" i="25"/>
  <c r="O11" i="25"/>
  <c r="O9" i="25"/>
  <c r="O8" i="25"/>
  <c r="O7" i="25"/>
  <c r="O6" i="25"/>
  <c r="O5" i="25"/>
  <c r="L26" i="25"/>
  <c r="L25" i="25"/>
  <c r="L24" i="25"/>
  <c r="Q18" i="22" l="1"/>
  <c r="Q19" i="22"/>
  <c r="R19" i="22"/>
  <c r="R17" i="21"/>
  <c r="Q16" i="20"/>
  <c r="R18" i="20"/>
  <c r="Q17" i="20"/>
  <c r="R17" i="20"/>
  <c r="Q17" i="14"/>
  <c r="R17" i="14"/>
  <c r="Q13" i="25"/>
  <c r="P14" i="25"/>
  <c r="Q16" i="25"/>
  <c r="P18" i="25"/>
  <c r="Q26" i="25"/>
  <c r="Q10" i="25"/>
  <c r="Q14" i="25"/>
  <c r="P24" i="25"/>
  <c r="P25" i="25"/>
  <c r="P16" i="25"/>
  <c r="P26" i="25"/>
  <c r="Q17" i="22"/>
  <c r="R17" i="22"/>
  <c r="Q10" i="21"/>
  <c r="Q18" i="21"/>
  <c r="R18" i="21"/>
  <c r="Q17" i="21"/>
  <c r="Q16" i="21"/>
  <c r="R16" i="21"/>
  <c r="R16" i="20"/>
  <c r="Q18" i="20"/>
  <c r="Q10" i="14"/>
  <c r="R10" i="14"/>
  <c r="T17" i="22"/>
  <c r="T10" i="21"/>
  <c r="P16" i="21"/>
  <c r="P10" i="20"/>
  <c r="T18" i="21"/>
  <c r="T17" i="21"/>
  <c r="P10" i="21"/>
  <c r="T10" i="20"/>
  <c r="P16" i="20"/>
  <c r="P18" i="14"/>
  <c r="P17" i="14"/>
  <c r="O24" i="25"/>
  <c r="L14" i="25"/>
  <c r="L16" i="25" s="1"/>
  <c r="L18" i="25" s="1"/>
  <c r="T18" i="22"/>
  <c r="T11" i="22"/>
  <c r="T16" i="21"/>
  <c r="T18" i="14"/>
  <c r="P18" i="20"/>
  <c r="T17" i="20"/>
  <c r="T18" i="20"/>
  <c r="P18" i="21"/>
  <c r="T19" i="22"/>
  <c r="P17" i="22"/>
  <c r="P11" i="22"/>
  <c r="P19" i="22"/>
  <c r="T16" i="20"/>
  <c r="P17" i="21"/>
  <c r="P17" i="20"/>
  <c r="P18" i="22"/>
  <c r="T17" i="14"/>
  <c r="T16" i="14"/>
  <c r="P16" i="14"/>
  <c r="S26" i="25"/>
  <c r="S24" i="25"/>
  <c r="O26" i="25"/>
  <c r="O25" i="25"/>
  <c r="S10" i="22"/>
  <c r="O10" i="22"/>
  <c r="S9" i="22"/>
  <c r="O9" i="22"/>
  <c r="S8" i="22"/>
  <c r="O8" i="22"/>
  <c r="S7" i="22"/>
  <c r="O7" i="22"/>
  <c r="S6" i="22"/>
  <c r="O6" i="22"/>
  <c r="S5" i="22"/>
  <c r="O5" i="22"/>
  <c r="S9" i="21"/>
  <c r="O9" i="21"/>
  <c r="S8" i="21"/>
  <c r="O8" i="21"/>
  <c r="S7" i="21"/>
  <c r="O7" i="21"/>
  <c r="S6" i="21"/>
  <c r="O6" i="21"/>
  <c r="S5" i="21"/>
  <c r="O5" i="21"/>
  <c r="S9" i="20"/>
  <c r="O9" i="20"/>
  <c r="S8" i="20"/>
  <c r="O8" i="20"/>
  <c r="S7" i="20"/>
  <c r="O7" i="20"/>
  <c r="S6" i="20"/>
  <c r="O6" i="20"/>
  <c r="S5" i="20"/>
  <c r="O5" i="20"/>
  <c r="O10" i="20" l="1"/>
  <c r="O11" i="22"/>
  <c r="S11" i="22"/>
  <c r="S10" i="21"/>
  <c r="O10" i="21"/>
  <c r="S10" i="20"/>
  <c r="S9" i="14"/>
  <c r="O9" i="14"/>
  <c r="S8" i="14"/>
  <c r="O8" i="14"/>
  <c r="S7" i="14"/>
  <c r="O7" i="14"/>
  <c r="S6" i="14"/>
  <c r="O6" i="14"/>
  <c r="S5" i="14"/>
  <c r="O5" i="14"/>
  <c r="S19" i="22"/>
  <c r="O19" i="22"/>
  <c r="S18" i="22"/>
  <c r="O18" i="22"/>
  <c r="S17" i="22"/>
  <c r="O17" i="22"/>
  <c r="S18" i="21"/>
  <c r="O18" i="21"/>
  <c r="S17" i="21"/>
  <c r="O17" i="21"/>
  <c r="S16" i="21"/>
  <c r="O16" i="21"/>
  <c r="S18" i="20"/>
  <c r="O18" i="20"/>
  <c r="S17" i="20"/>
  <c r="O17" i="20"/>
  <c r="S16" i="20"/>
  <c r="O16" i="20"/>
  <c r="S16" i="14" l="1"/>
  <c r="O16" i="14"/>
  <c r="O18" i="14"/>
  <c r="S18" i="14"/>
  <c r="O10" i="14"/>
  <c r="S10" i="14"/>
  <c r="O17" i="14"/>
  <c r="S17" i="14"/>
  <c r="J11" i="22"/>
  <c r="F11" i="22"/>
  <c r="J19" i="22"/>
  <c r="F19" i="22"/>
  <c r="D18" i="22"/>
  <c r="J18" i="22"/>
  <c r="F18" i="22"/>
  <c r="J17" i="22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P10" i="13"/>
  <c r="R10" i="13"/>
  <c r="J10" i="13"/>
  <c r="F10" i="13"/>
  <c r="R17" i="25"/>
  <c r="R15" i="25"/>
  <c r="R12" i="25"/>
  <c r="R11" i="25"/>
  <c r="R9" i="25"/>
  <c r="R8" i="25"/>
  <c r="R7" i="25"/>
  <c r="R6" i="25"/>
  <c r="N17" i="25"/>
  <c r="N15" i="25"/>
  <c r="N12" i="25"/>
  <c r="N11" i="25"/>
  <c r="N9" i="25"/>
  <c r="N8" i="25"/>
  <c r="N7" i="25"/>
  <c r="N6" i="25"/>
  <c r="N5" i="25"/>
  <c r="R5" i="25"/>
  <c r="J13" i="25"/>
  <c r="J10" i="25"/>
  <c r="F13" i="25"/>
  <c r="F14" i="25" s="1"/>
  <c r="F16" i="25" s="1"/>
  <c r="F18" i="25" s="1"/>
  <c r="F10" i="25"/>
  <c r="D13" i="25"/>
  <c r="D10" i="25"/>
  <c r="J26" i="25"/>
  <c r="J25" i="25"/>
  <c r="J24" i="25"/>
  <c r="F26" i="25"/>
  <c r="F25" i="25"/>
  <c r="F24" i="25"/>
  <c r="D26" i="25"/>
  <c r="D25" i="25"/>
  <c r="D24" i="25"/>
  <c r="J14" i="25" l="1"/>
  <c r="J16" i="25" s="1"/>
  <c r="J18" i="25" s="1"/>
  <c r="R24" i="25"/>
  <c r="N26" i="25"/>
  <c r="N25" i="25"/>
  <c r="D11" i="22"/>
  <c r="D17" i="22"/>
  <c r="D19" i="22"/>
  <c r="D17" i="21"/>
  <c r="D16" i="21"/>
  <c r="D18" i="21"/>
  <c r="D18" i="14"/>
  <c r="D16" i="14"/>
  <c r="D10" i="14"/>
  <c r="D10" i="13"/>
  <c r="R26" i="25"/>
  <c r="N24" i="25"/>
  <c r="R25" i="25"/>
  <c r="D14" i="25"/>
  <c r="D16" i="25" s="1"/>
  <c r="D18" i="25" s="1"/>
  <c r="E6" i="24" l="1"/>
  <c r="F25" i="23" l="1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3" i="24" l="1"/>
  <c r="C33" i="24"/>
  <c r="E33" i="24"/>
  <c r="G13" i="25"/>
  <c r="N13" i="25" s="1"/>
  <c r="H13" i="25"/>
  <c r="E13" i="25"/>
  <c r="E14" i="25" s="1"/>
  <c r="E16" i="25" s="1"/>
  <c r="E18" i="25" s="1"/>
  <c r="C13" i="25"/>
  <c r="G10" i="25"/>
  <c r="N10" i="25" s="1"/>
  <c r="H10" i="25"/>
  <c r="E10" i="25"/>
  <c r="C10" i="25"/>
  <c r="H14" i="25" l="1"/>
  <c r="O13" i="25"/>
  <c r="O10" i="25"/>
  <c r="G14" i="25"/>
  <c r="C14" i="25"/>
  <c r="C16" i="25" s="1"/>
  <c r="C18" i="25" s="1"/>
  <c r="H16" i="25" l="1"/>
  <c r="O14" i="25"/>
  <c r="G16" i="25"/>
  <c r="N14" i="25"/>
  <c r="E24" i="24"/>
  <c r="E30" i="24" s="1"/>
  <c r="D24" i="24"/>
  <c r="D30" i="24" s="1"/>
  <c r="C24" i="24"/>
  <c r="C30" i="24" s="1"/>
  <c r="E11" i="24"/>
  <c r="D11" i="24"/>
  <c r="C11" i="24"/>
  <c r="D6" i="24"/>
  <c r="C6" i="24"/>
  <c r="H18" i="25" l="1"/>
  <c r="O16" i="25"/>
  <c r="G18" i="25"/>
  <c r="N18" i="25" s="1"/>
  <c r="N16" i="25"/>
  <c r="C16" i="24"/>
  <c r="D16" i="24"/>
  <c r="E16" i="24"/>
  <c r="O18" i="25" l="1"/>
  <c r="E34" i="24"/>
  <c r="E38" i="24" s="1"/>
  <c r="D34" i="24"/>
  <c r="D38" i="24" s="1"/>
  <c r="C34" i="24"/>
  <c r="C38" i="24" s="1"/>
  <c r="D36" i="19" l="1"/>
  <c r="F53" i="19"/>
  <c r="G52" i="19" s="1"/>
  <c r="E53" i="19"/>
  <c r="C53" i="19"/>
  <c r="D53" i="19"/>
  <c r="E36" i="19"/>
  <c r="F36" i="19"/>
  <c r="G31" i="19" s="1"/>
  <c r="G50" i="19" l="1"/>
  <c r="G35" i="19"/>
  <c r="G49" i="19"/>
  <c r="G51" i="19"/>
  <c r="G42" i="19"/>
  <c r="G43" i="19"/>
  <c r="G44" i="19"/>
  <c r="G45" i="19"/>
  <c r="G30" i="19"/>
  <c r="G32" i="19"/>
  <c r="G33" i="19"/>
  <c r="G46" i="19"/>
  <c r="G47" i="19"/>
  <c r="G34" i="19"/>
  <c r="G48" i="19"/>
  <c r="C36" i="19"/>
  <c r="G53" i="19" l="1"/>
  <c r="G36" i="19"/>
  <c r="K19" i="22" l="1"/>
  <c r="G19" i="22"/>
  <c r="K18" i="22"/>
  <c r="G18" i="22"/>
  <c r="K17" i="22"/>
  <c r="G17" i="22"/>
  <c r="H19" i="22"/>
  <c r="M19" i="22" s="1"/>
  <c r="E19" i="22"/>
  <c r="C19" i="22"/>
  <c r="H18" i="22"/>
  <c r="M18" i="22" s="1"/>
  <c r="C18" i="22"/>
  <c r="D13" i="19" l="1"/>
  <c r="D6" i="19"/>
  <c r="C6" i="19"/>
  <c r="E18" i="22"/>
  <c r="H17" i="22"/>
  <c r="M17" i="22" s="1"/>
  <c r="E17" i="22"/>
  <c r="C17" i="22"/>
  <c r="K11" i="22"/>
  <c r="G11" i="22"/>
  <c r="H11" i="22"/>
  <c r="M11" i="22" s="1"/>
  <c r="E11" i="22"/>
  <c r="C11" i="22"/>
  <c r="K18" i="21"/>
  <c r="G18" i="21"/>
  <c r="H18" i="21"/>
  <c r="M18" i="21" s="1"/>
  <c r="E18" i="21"/>
  <c r="C18" i="21"/>
  <c r="K17" i="21"/>
  <c r="G17" i="21"/>
  <c r="H17" i="21"/>
  <c r="M17" i="21" s="1"/>
  <c r="E17" i="21"/>
  <c r="C17" i="21"/>
  <c r="K16" i="21"/>
  <c r="G16" i="21"/>
  <c r="H16" i="21"/>
  <c r="M16" i="21" s="1"/>
  <c r="E16" i="21"/>
  <c r="C16" i="21"/>
  <c r="K10" i="21"/>
  <c r="G10" i="21"/>
  <c r="H10" i="21"/>
  <c r="M10" i="21" s="1"/>
  <c r="E10" i="21"/>
  <c r="C10" i="21"/>
  <c r="K18" i="20"/>
  <c r="G18" i="20"/>
  <c r="H18" i="20"/>
  <c r="M18" i="20" s="1"/>
  <c r="E18" i="20"/>
  <c r="C18" i="20"/>
  <c r="K17" i="20"/>
  <c r="G17" i="20"/>
  <c r="H17" i="20"/>
  <c r="M17" i="20" s="1"/>
  <c r="E17" i="20"/>
  <c r="C17" i="20"/>
  <c r="K16" i="20"/>
  <c r="G16" i="20"/>
  <c r="H16" i="20"/>
  <c r="M16" i="20" s="1"/>
  <c r="E16" i="20"/>
  <c r="C16" i="20"/>
  <c r="K10" i="20"/>
  <c r="G10" i="20"/>
  <c r="H10" i="20"/>
  <c r="M10" i="20" s="1"/>
  <c r="E10" i="20"/>
  <c r="C10" i="20"/>
  <c r="K10" i="14"/>
  <c r="G10" i="14"/>
  <c r="H10" i="14"/>
  <c r="M10" i="14" s="1"/>
  <c r="K18" i="14"/>
  <c r="G18" i="14"/>
  <c r="H18" i="14"/>
  <c r="M18" i="14" s="1"/>
  <c r="K17" i="14"/>
  <c r="G17" i="14"/>
  <c r="H17" i="14"/>
  <c r="M17" i="14" s="1"/>
  <c r="K16" i="14"/>
  <c r="G16" i="14"/>
  <c r="H16" i="14"/>
  <c r="M16" i="14" s="1"/>
  <c r="E17" i="14"/>
  <c r="E18" i="14"/>
  <c r="E10" i="14"/>
  <c r="Q10" i="13"/>
  <c r="T10" i="13"/>
  <c r="Y10" i="13" s="1"/>
  <c r="G10" i="13"/>
  <c r="H10" i="13"/>
  <c r="M10" i="13" s="1"/>
  <c r="E10" i="13"/>
  <c r="S10" i="13" l="1"/>
  <c r="D5" i="19"/>
  <c r="C13" i="19"/>
  <c r="C5" i="19" s="1"/>
  <c r="E16" i="14"/>
  <c r="D22" i="19" l="1"/>
  <c r="D24" i="19" s="1"/>
  <c r="C22" i="19"/>
  <c r="C24" i="19" s="1"/>
  <c r="F6" i="19"/>
  <c r="E6" i="19" l="1"/>
  <c r="E13" i="19"/>
  <c r="F5" i="19"/>
  <c r="F22" i="19" s="1"/>
  <c r="F24" i="19" s="1"/>
  <c r="E5" i="19" l="1"/>
  <c r="E22" i="19" s="1"/>
  <c r="G11" i="19" l="1"/>
  <c r="G5" i="19"/>
  <c r="G19" i="19"/>
  <c r="G8" i="19"/>
  <c r="G7" i="19"/>
  <c r="G15" i="19"/>
  <c r="G12" i="19"/>
  <c r="G18" i="19"/>
  <c r="G14" i="19"/>
  <c r="G10" i="19"/>
  <c r="G20" i="19"/>
  <c r="G9" i="19"/>
  <c r="G17" i="19"/>
  <c r="G6" i="19"/>
  <c r="G21" i="19"/>
  <c r="G13" i="19"/>
  <c r="E24" i="19"/>
  <c r="G22" i="19" l="1"/>
  <c r="C17" i="14"/>
  <c r="C18" i="14"/>
  <c r="W10" i="13"/>
  <c r="K10" i="13"/>
  <c r="C10" i="13"/>
  <c r="C10" i="14"/>
  <c r="C16" i="14"/>
  <c r="K10" i="25" l="1"/>
  <c r="K13" i="25"/>
  <c r="O10" i="13"/>
  <c r="R13" i="25" l="1"/>
  <c r="S13" i="25"/>
  <c r="R10" i="25"/>
  <c r="S10" i="25"/>
  <c r="K26" i="25"/>
  <c r="K24" i="25"/>
  <c r="K14" i="25"/>
  <c r="S14" i="25" s="1"/>
  <c r="K25" i="25"/>
  <c r="K16" i="25" l="1"/>
  <c r="S16" i="25" s="1"/>
  <c r="R14" i="25"/>
  <c r="F38" i="24"/>
  <c r="K18" i="25" l="1"/>
  <c r="S18" i="25" s="1"/>
  <c r="R16" i="25"/>
  <c r="R18" i="25" l="1"/>
</calcChain>
</file>

<file path=xl/sharedStrings.xml><?xml version="1.0" encoding="utf-8"?>
<sst xmlns="http://schemas.openxmlformats.org/spreadsheetml/2006/main" count="428" uniqueCount="138">
  <si>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</si>
  <si>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</si>
  <si>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</si>
  <si>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</si>
  <si>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</si>
  <si>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</si>
  <si>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</si>
  <si>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</si>
  <si>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</si>
  <si>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</si>
  <si>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</si>
  <si>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</si>
  <si>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</si>
  <si>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</si>
  <si>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</si>
  <si>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</si>
  <si>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</si>
  <si>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</si>
  <si>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</si>
  <si>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</si>
  <si>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INDEX</t>
  </si>
  <si>
    <t>Balance sheet</t>
  </si>
  <si>
    <t>P&amp;L</t>
  </si>
  <si>
    <t>Business lines</t>
  </si>
  <si>
    <t>Motor</t>
  </si>
  <si>
    <t>Home</t>
  </si>
  <si>
    <t>Health</t>
  </si>
  <si>
    <t>Other</t>
  </si>
  <si>
    <t>Investments</t>
  </si>
  <si>
    <t>Solvency</t>
  </si>
  <si>
    <t>MOTOR</t>
  </si>
  <si>
    <t>HOME</t>
  </si>
  <si>
    <t>HEALTH</t>
  </si>
  <si>
    <t>OTHER INSURANCE BUSINESSES</t>
  </si>
  <si>
    <t>STANDALONE QUARTERS</t>
  </si>
  <si>
    <t>INCOME STATEMENT</t>
  </si>
  <si>
    <t>BALANCE SHEET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</si>
  <si>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</si>
  <si>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</si>
  <si>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</si>
  <si>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</si>
  <si>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</si>
  <si>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</si>
  <si>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</si>
  <si>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</si>
  <si>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</si>
  <si>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</si>
  <si>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</si>
  <si>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</si>
  <si>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</si>
  <si>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</si>
  <si>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</si>
  <si>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HEDGING DERIVATIVES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</si>
  <si>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</si>
  <si>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</si>
  <si>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</si>
  <si>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</si>
  <si>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</si>
  <si>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</si>
  <si>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</si>
  <si>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</si>
  <si>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</si>
  <si>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</si>
  <si>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t>Thousand euro</t>
  </si>
  <si>
    <t>3Q 2020</t>
  </si>
  <si>
    <t>4Q 2020</t>
  </si>
  <si>
    <t>3Q 2021</t>
  </si>
  <si>
    <t>4Q 2021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</si>
  <si>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</si>
  <si>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</si>
  <si>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</si>
  <si>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</si>
  <si>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</si>
  <si>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</si>
  <si>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</si>
  <si>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</si>
  <si>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</si>
  <si>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</si>
  <si>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</si>
  <si>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</si>
  <si>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</si>
  <si>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</si>
  <si>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</si>
  <si>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</si>
  <si>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</si>
  <si>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BUSINESS LINES</t>
  </si>
  <si>
    <t>GROSS WRITTEN PREIMIUMS</t>
  </si>
  <si>
    <t>Thousand euro, ratios in %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</si>
  <si>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</si>
  <si>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</si>
  <si>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</si>
  <si>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</si>
  <si>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</si>
  <si>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</si>
  <si>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</si>
  <si>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</si>
  <si>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</si>
  <si>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</si>
  <si>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</si>
  <si>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</si>
  <si>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</si>
  <si>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</si>
  <si>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</si>
  <si>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</si>
  <si>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</si>
  <si>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</si>
  <si>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</si>
  <si>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</si>
  <si>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</si>
  <si>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</si>
  <si>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</si>
  <si>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</si>
  <si>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</si>
  <si>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</si>
  <si>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</si>
  <si>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</si>
  <si>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</si>
  <si>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</si>
  <si>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</si>
  <si>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</si>
  <si>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</si>
  <si>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</si>
  <si>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</si>
  <si>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</si>
  <si>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</si>
  <si>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</si>
  <si>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</si>
  <si>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</si>
  <si>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</si>
  <si>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</si>
  <si>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</si>
  <si>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United Kingdom</t>
  </si>
  <si>
    <t>3M 2021</t>
  </si>
  <si>
    <t>1T 2021</t>
  </si>
  <si>
    <t>2T 2021</t>
  </si>
  <si>
    <t>1Q 2021</t>
  </si>
  <si>
    <t>2Q 2021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</si>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</sst>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"/>
    <numFmt numFmtId="170" formatCode="0.00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50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 applyAlignment="1">
      <alignment horizontal="right" vertical="center"/>
    </xf>
    <xf numFmtId="10" fontId="5" fillId="3" borderId="0" xfId="2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readingOrder="1"/>
    </xf>
    <xf numFmtId="0" fontId="10" fillId="4" borderId="0" xfId="0" applyFont="1" applyFill="1" applyBorder="1" applyAlignment="1">
      <alignment horizontal="left" vertical="center" readingOrder="1"/>
    </xf>
    <xf numFmtId="165" fontId="9" fillId="3" borderId="0" xfId="1" applyNumberFormat="1" applyFont="1" applyFill="1" applyBorder="1" applyAlignment="1">
      <alignment vertical="center"/>
    </xf>
    <xf numFmtId="0" fontId="13" fillId="2" borderId="0" xfId="3" applyFont="1" applyAlignment="1">
      <alignment horizontal="center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1" applyNumberFormat="1" applyFont="1" applyFill="1" applyBorder="1" applyAlignment="1">
      <alignment horizontal="right" vertical="center"/>
    </xf>
    <xf numFmtId="166" fontId="12" fillId="0" borderId="2" xfId="1" applyNumberFormat="1" applyFont="1" applyFill="1" applyBorder="1" applyAlignment="1">
      <alignment vertical="center"/>
    </xf>
    <xf numFmtId="166" fontId="12" fillId="0" borderId="2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readingOrder="1"/>
    </xf>
    <xf numFmtId="0" fontId="11" fillId="0" borderId="3" xfId="0" applyFont="1" applyFill="1" applyBorder="1" applyAlignment="1">
      <alignment vertical="center" readingOrder="1"/>
    </xf>
    <xf numFmtId="14" fontId="10" fillId="5" borderId="7" xfId="1" applyNumberFormat="1" applyFont="1" applyFill="1" applyBorder="1" applyAlignment="1">
      <alignment horizontal="right" vertical="center"/>
    </xf>
    <xf numFmtId="166" fontId="12" fillId="5" borderId="8" xfId="1" applyNumberFormat="1" applyFont="1" applyFill="1" applyBorder="1" applyAlignment="1">
      <alignment horizontal="right" vertical="center"/>
    </xf>
    <xf numFmtId="166" fontId="14" fillId="5" borderId="8" xfId="1" applyNumberFormat="1" applyFont="1" applyFill="1" applyBorder="1" applyAlignment="1">
      <alignment horizontal="right" vertical="center"/>
    </xf>
    <xf numFmtId="166" fontId="12" fillId="5" borderId="9" xfId="1" applyNumberFormat="1" applyFont="1" applyFill="1" applyBorder="1" applyAlignment="1">
      <alignment vertical="center"/>
    </xf>
    <xf numFmtId="166" fontId="12" fillId="5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vertical="center" readingOrder="1"/>
    </xf>
    <xf numFmtId="0" fontId="14" fillId="0" borderId="0" xfId="0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2" fillId="5" borderId="8" xfId="1" applyNumberFormat="1" applyFont="1" applyFill="1" applyBorder="1" applyAlignment="1">
      <alignment vertical="center"/>
    </xf>
    <xf numFmtId="166" fontId="14" fillId="5" borderId="8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7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7" fontId="16" fillId="0" borderId="0" xfId="0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164" fontId="17" fillId="0" borderId="2" xfId="2" applyNumberFormat="1" applyFont="1" applyFill="1" applyBorder="1" applyAlignment="1">
      <alignment horizontal="right" vertical="center"/>
    </xf>
    <xf numFmtId="167" fontId="16" fillId="0" borderId="2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168" fontId="14" fillId="0" borderId="0" xfId="2" applyNumberFormat="1" applyFont="1" applyFill="1" applyBorder="1" applyAlignment="1">
      <alignment horizontal="right" vertical="center"/>
    </xf>
    <xf numFmtId="168" fontId="14" fillId="5" borderId="8" xfId="2" applyNumberFormat="1" applyFont="1" applyFill="1" applyBorder="1" applyAlignment="1">
      <alignment horizontal="right" vertical="center"/>
    </xf>
    <xf numFmtId="168" fontId="12" fillId="0" borderId="2" xfId="2" applyNumberFormat="1" applyFont="1" applyFill="1" applyBorder="1" applyAlignment="1">
      <alignment horizontal="right" vertical="center"/>
    </xf>
    <xf numFmtId="168" fontId="12" fillId="5" borderId="9" xfId="2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0" fontId="12" fillId="0" borderId="4" xfId="1" applyNumberFormat="1" applyFont="1" applyFill="1" applyBorder="1" applyAlignment="1">
      <alignment horizontal="right" vertical="center"/>
    </xf>
    <xf numFmtId="0" fontId="10" fillId="5" borderId="7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4" fontId="14" fillId="0" borderId="5" xfId="2" applyNumberFormat="1" applyFont="1" applyFill="1" applyBorder="1" applyAlignment="1">
      <alignment horizontal="right" vertical="center"/>
    </xf>
    <xf numFmtId="164" fontId="14" fillId="5" borderId="8" xfId="2" applyNumberFormat="1" applyFont="1" applyFill="1" applyBorder="1" applyAlignment="1">
      <alignment horizontal="right" vertical="center"/>
    </xf>
    <xf numFmtId="164" fontId="12" fillId="0" borderId="2" xfId="2" applyNumberFormat="1" applyFont="1" applyFill="1" applyBorder="1" applyAlignment="1">
      <alignment horizontal="right" vertical="center"/>
    </xf>
    <xf numFmtId="164" fontId="12" fillId="0" borderId="6" xfId="2" applyNumberFormat="1" applyFont="1" applyFill="1" applyBorder="1" applyAlignment="1">
      <alignment horizontal="right" vertical="center"/>
    </xf>
    <xf numFmtId="164" fontId="12" fillId="5" borderId="9" xfId="2" applyNumberFormat="1" applyFont="1" applyFill="1" applyBorder="1" applyAlignment="1">
      <alignment horizontal="right" vertical="center"/>
    </xf>
    <xf numFmtId="164" fontId="12" fillId="5" borderId="5" xfId="2" applyNumberFormat="1" applyFont="1" applyFill="1" applyBorder="1" applyAlignment="1">
      <alignment horizontal="center" vertical="center"/>
    </xf>
    <xf numFmtId="164" fontId="14" fillId="5" borderId="5" xfId="2" applyNumberFormat="1" applyFont="1" applyFill="1" applyBorder="1" applyAlignment="1">
      <alignment horizontal="center" vertical="center"/>
    </xf>
    <xf numFmtId="164" fontId="12" fillId="5" borderId="6" xfId="2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indent="1"/>
    </xf>
    <xf numFmtId="0" fontId="9" fillId="0" borderId="0" xfId="0" applyFont="1"/>
    <xf numFmtId="0" fontId="9" fillId="5" borderId="0" xfId="0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5" fillId="0" borderId="0" xfId="0" applyFont="1"/>
    <xf numFmtId="0" fontId="14" fillId="0" borderId="0" xfId="0" applyFont="1"/>
    <xf numFmtId="3" fontId="14" fillId="0" borderId="0" xfId="0" applyNumberFormat="1" applyFont="1"/>
    <xf numFmtId="166" fontId="14" fillId="0" borderId="0" xfId="0" applyNumberFormat="1" applyFont="1"/>
    <xf numFmtId="0" fontId="12" fillId="0" borderId="0" xfId="0" applyFont="1"/>
    <xf numFmtId="3" fontId="12" fillId="0" borderId="0" xfId="0" applyNumberFormat="1" applyFont="1"/>
    <xf numFmtId="9" fontId="12" fillId="0" borderId="15" xfId="2" applyNumberFormat="1" applyFont="1" applyFill="1" applyBorder="1" applyAlignment="1">
      <alignment vertical="center"/>
    </xf>
    <xf numFmtId="9" fontId="12" fillId="0" borderId="1" xfId="2" applyNumberFormat="1" applyFont="1" applyFill="1" applyBorder="1" applyAlignment="1">
      <alignment vertical="center"/>
    </xf>
    <xf numFmtId="0" fontId="16" fillId="0" borderId="0" xfId="0" applyFont="1" applyAlignment="1">
      <alignment horizontal="left" indent="1"/>
    </xf>
    <xf numFmtId="9" fontId="16" fillId="0" borderId="0" xfId="2" applyFont="1"/>
    <xf numFmtId="9" fontId="16" fillId="5" borderId="8" xfId="2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0" xfId="4" applyFont="1" applyFill="1" applyBorder="1" applyAlignment="1">
      <alignment horizontal="left" vertical="center" indent="1"/>
    </xf>
    <xf numFmtId="0" fontId="20" fillId="5" borderId="0" xfId="4" applyFont="1" applyFill="1" applyBorder="1" applyAlignment="1">
      <alignment horizontal="left" vertical="center" indent="2"/>
    </xf>
    <xf numFmtId="0" fontId="10" fillId="7" borderId="0" xfId="4" applyFont="1" applyFill="1" applyBorder="1" applyAlignment="1">
      <alignment horizontal="center" vertical="center"/>
    </xf>
    <xf numFmtId="3" fontId="12" fillId="5" borderId="8" xfId="1" applyNumberFormat="1" applyFont="1" applyFill="1" applyBorder="1" applyAlignment="1">
      <alignment vertical="center"/>
    </xf>
    <xf numFmtId="9" fontId="12" fillId="5" borderId="17" xfId="2" applyFont="1" applyFill="1" applyBorder="1" applyAlignment="1">
      <alignment vertical="center"/>
    </xf>
    <xf numFmtId="164" fontId="12" fillId="5" borderId="16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center" vertical="center"/>
    </xf>
    <xf numFmtId="167" fontId="16" fillId="0" borderId="0" xfId="2" applyNumberFormat="1" applyFont="1" applyFill="1" applyBorder="1" applyAlignment="1">
      <alignment horizontal="right" vertical="center"/>
    </xf>
    <xf numFmtId="167" fontId="17" fillId="0" borderId="2" xfId="2" applyNumberFormat="1" applyFont="1" applyFill="1" applyBorder="1" applyAlignment="1">
      <alignment horizontal="right" vertical="center"/>
    </xf>
    <xf numFmtId="9" fontId="12" fillId="5" borderId="7" xfId="2" applyNumberFormat="1" applyFon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5" fontId="12" fillId="0" borderId="0" xfId="1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170" fontId="0" fillId="3" borderId="0" xfId="2" applyNumberFormat="1" applyFont="1" applyFill="1" applyAlignment="1">
      <alignment vertical="center"/>
    </xf>
    <xf numFmtId="165" fontId="14" fillId="5" borderId="8" xfId="1" applyNumberFormat="1" applyFont="1" applyFill="1" applyBorder="1" applyAlignment="1">
      <alignment horizontal="right"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2" fillId="5" borderId="9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5" fontId="12" fillId="0" borderId="5" xfId="1" applyNumberFormat="1" applyFont="1" applyFill="1" applyBorder="1" applyAlignment="1">
      <alignment horizontal="right" vertical="center"/>
    </xf>
    <xf numFmtId="165" fontId="12" fillId="5" borderId="8" xfId="1" applyNumberFormat="1" applyFont="1" applyFill="1" applyBorder="1" applyAlignment="1">
      <alignment horizontal="right" vertical="center"/>
    </xf>
    <xf numFmtId="165" fontId="14" fillId="0" borderId="5" xfId="1" applyNumberFormat="1" applyFont="1" applyFill="1" applyBorder="1" applyAlignment="1">
      <alignment horizontal="right" vertical="center"/>
    </xf>
    <xf numFmtId="165" fontId="12" fillId="0" borderId="6" xfId="1" applyNumberFormat="1" applyFont="1" applyFill="1" applyBorder="1" applyAlignment="1">
      <alignment horizontal="right" vertical="center"/>
    </xf>
    <xf numFmtId="165" fontId="12" fillId="5" borderId="10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65" fontId="14" fillId="5" borderId="10" xfId="1" applyNumberFormat="1" applyFont="1" applyFill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165" fontId="12" fillId="5" borderId="18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5" borderId="11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center" vertical="center"/>
    </xf>
    <xf numFmtId="166" fontId="14" fillId="5" borderId="10" xfId="1" applyNumberFormat="1" applyFont="1" applyFill="1" applyBorder="1" applyAlignment="1">
      <alignment horizontal="center" vertical="center"/>
    </xf>
    <xf numFmtId="165" fontId="12" fillId="5" borderId="6" xfId="1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 readingOrder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indent="1" readingOrder="1"/>
    </xf>
    <xf numFmtId="0" fontId="12" fillId="0" borderId="2" xfId="0" applyFont="1" applyBorder="1" applyAlignment="1">
      <alignment horizontal="left" vertical="center" readingOrder="1"/>
    </xf>
    <xf numFmtId="0" fontId="4" fillId="4" borderId="0" xfId="0" applyFont="1" applyFill="1" applyAlignment="1">
      <alignment horizontal="left" vertical="center" readingOrder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12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0" fillId="5" borderId="13" xfId="1" applyNumberFormat="1" applyFont="1" applyFill="1" applyBorder="1" applyAlignment="1">
      <alignment horizontal="center" vertical="center"/>
    </xf>
    <xf numFmtId="0" fontId="10" fillId="5" borderId="4" xfId="1" applyNumberFormat="1" applyFont="1" applyFill="1" applyBorder="1" applyAlignment="1">
      <alignment horizontal="center"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38953</xdr:colOff>
      <xdr:row>21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7E313-7135-40A0-84B7-08CDEFEC2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80" r="7980"/>
        <a:stretch/>
      </xdr:blipFill>
      <xdr:spPr bwMode="auto">
        <a:xfrm>
          <a:off x="1" y="1"/>
          <a:ext cx="6134952" cy="424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95250</xdr:rowOff>
    </xdr:from>
    <xdr:to>
      <xdr:col>6</xdr:col>
      <xdr:colOff>724696</xdr:colOff>
      <xdr:row>3</xdr:row>
      <xdr:rowOff>31973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6C2E8D25-1AD8-4820-A78A-2C2255A35060}"/>
            </a:ext>
          </a:extLst>
        </xdr:cNvPr>
        <xdr:cNvSpPr>
          <a:spLocks noGrp="1"/>
        </xdr:cNvSpPr>
      </xdr:nvSpPr>
      <xdr:spPr>
        <a:xfrm>
          <a:off x="63500" y="95250"/>
          <a:ext cx="5233196" cy="48917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Línea Directa Aseguradora</a:t>
          </a:r>
          <a:r>
            <a:rPr lang="es-ES" sz="1600" i="0" baseline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Group</a:t>
          </a:r>
          <a:endParaRPr lang="es-ES" sz="1600" i="0">
            <a:solidFill>
              <a:schemeClr val="bg1"/>
            </a:solidFill>
            <a:latin typeface="Futura Std Light" panose="020B0402020204020303" pitchFamily="34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63500</xdr:colOff>
      <xdr:row>3</xdr:row>
      <xdr:rowOff>34291</xdr:rowOff>
    </xdr:from>
    <xdr:to>
      <xdr:col>7</xdr:col>
      <xdr:colOff>123825</xdr:colOff>
      <xdr:row>6</xdr:row>
      <xdr:rowOff>59914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0B4CEC5-04EF-4B1A-8ECF-5708EC8B687C}"/>
            </a:ext>
          </a:extLst>
        </xdr:cNvPr>
        <xdr:cNvSpPr txBox="1">
          <a:spLocks/>
        </xdr:cNvSpPr>
      </xdr:nvSpPr>
      <xdr:spPr>
        <a:xfrm>
          <a:off x="63500" y="653416"/>
          <a:ext cx="5394325" cy="597123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3600" b="1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More digital, more useful</a:t>
          </a:r>
        </a:p>
      </xdr:txBody>
    </xdr:sp>
    <xdr:clientData/>
  </xdr:twoCellAnchor>
  <xdr:twoCellAnchor>
    <xdr:from>
      <xdr:col>0</xdr:col>
      <xdr:colOff>156845</xdr:colOff>
      <xdr:row>13</xdr:row>
      <xdr:rowOff>731</xdr:rowOff>
    </xdr:from>
    <xdr:to>
      <xdr:col>7</xdr:col>
      <xdr:colOff>400050</xdr:colOff>
      <xdr:row>15</xdr:row>
      <xdr:rowOff>163089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2394681"/>
          <a:ext cx="5577205" cy="5306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0</xdr:col>
      <xdr:colOff>189503</xdr:colOff>
      <xdr:row>15</xdr:row>
      <xdr:rowOff>155651</xdr:rowOff>
    </xdr:from>
    <xdr:to>
      <xdr:col>4</xdr:col>
      <xdr:colOff>247650</xdr:colOff>
      <xdr:row>17</xdr:row>
      <xdr:rowOff>134640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89503" y="3060776"/>
          <a:ext cx="3106147" cy="35998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12M 2021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I1:I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8" width="11.42578125" style="76"/>
    <col min="9" max="9" width="31.5703125" style="38" bestFit="1" customWidth="1"/>
    <col min="10" max="16384" width="11.42578125" style="76"/>
  </cols>
  <sheetData>
    <row r="1" spans="9:9" ht="18.75" customHeight="1" x14ac:dyDescent="0.3">
      <c r="I1" s="75" t="s">
        <v>20</v>
      </c>
    </row>
    <row r="2" spans="9:9" x14ac:dyDescent="0.3">
      <c r="I2" s="92"/>
    </row>
    <row r="3" spans="9:9" x14ac:dyDescent="0.3">
      <c r="I3" s="93" t="s">
        <v>21</v>
      </c>
    </row>
    <row r="4" spans="9:9" x14ac:dyDescent="0.3">
      <c r="I4" s="93" t="s">
        <v>22</v>
      </c>
    </row>
    <row r="5" spans="9:9" x14ac:dyDescent="0.3">
      <c r="I5" s="93" t="s">
        <v>23</v>
      </c>
    </row>
    <row r="6" spans="9:9" x14ac:dyDescent="0.3">
      <c r="I6" s="94" t="s">
        <v>24</v>
      </c>
    </row>
    <row r="7" spans="9:9" x14ac:dyDescent="0.3">
      <c r="I7" s="94" t="s">
        <v>25</v>
      </c>
    </row>
    <row r="8" spans="9:9" x14ac:dyDescent="0.3">
      <c r="I8" s="94" t="s">
        <v>26</v>
      </c>
    </row>
    <row r="9" spans="9:9" x14ac:dyDescent="0.3">
      <c r="I9" s="94" t="s">
        <v>27</v>
      </c>
    </row>
    <row r="10" spans="9:9" x14ac:dyDescent="0.3">
      <c r="I10" s="93" t="s">
        <v>28</v>
      </c>
    </row>
    <row r="11" spans="9:9" x14ac:dyDescent="0.3">
      <c r="I11" s="93" t="s">
        <v>29</v>
      </c>
    </row>
    <row r="12" spans="9:9" x14ac:dyDescent="0.3">
      <c r="I12" s="77"/>
    </row>
    <row r="13" spans="9:9" x14ac:dyDescent="0.3">
      <c r="I13" s="77"/>
    </row>
    <row r="14" spans="9:9" x14ac:dyDescent="0.3">
      <c r="I14" s="77"/>
    </row>
    <row r="15" spans="9:9" x14ac:dyDescent="0.3">
      <c r="I15" s="77"/>
    </row>
    <row r="16" spans="9:9" x14ac:dyDescent="0.3">
      <c r="I16" s="77"/>
    </row>
    <row r="17" spans="9:9" x14ac:dyDescent="0.3">
      <c r="I17" s="77"/>
    </row>
    <row r="18" spans="9:9" x14ac:dyDescent="0.3">
      <c r="I18" s="77"/>
    </row>
    <row r="19" spans="9:9" x14ac:dyDescent="0.3">
      <c r="I19" s="77"/>
    </row>
    <row r="20" spans="9:9" x14ac:dyDescent="0.3">
      <c r="I20" s="77"/>
    </row>
    <row r="21" spans="9:9" x14ac:dyDescent="0.3">
      <c r="I21" s="77"/>
    </row>
    <row r="22" spans="9:9" x14ac:dyDescent="0.3">
      <c r="I22" s="30"/>
    </row>
    <row r="23" spans="9:9" x14ac:dyDescent="0.3">
      <c r="I23" s="30"/>
    </row>
    <row r="24" spans="9:9" x14ac:dyDescent="0.3">
      <c r="I24" s="30"/>
    </row>
  </sheetData>
  <hyperlinks>
    <hyperlink ref="I3" location="'Balance sheet'!A1" display="Balance sheet" xr:uid="{FE2BEE06-75C7-458B-8E29-1B6FC9F4F468}"/>
    <hyperlink ref="I4" location="'P&amp;L'!A1" display="P&amp;L" xr:uid="{8C6665BE-6ED0-43FA-91AF-EBEDC746B0DA}"/>
    <hyperlink ref="I5" location="'Business lines'!A1" display="Business lines" xr:uid="{E70D77EB-26A1-41E1-AB47-54ADE5E3CC66}"/>
    <hyperlink ref="I6" location="Motor!A1" display="Motor" xr:uid="{FE9C15AC-4688-4226-814C-BEE32E925A47}"/>
    <hyperlink ref="I7" location="Home!A1" display="Home" xr:uid="{AB5156D6-EA76-429A-BBDD-3B3C1DC45395}"/>
    <hyperlink ref="I8" location="Health!A1" display="Health" xr:uid="{F029259D-3D98-4A75-8E82-F7BA2FDA8A97}"/>
    <hyperlink ref="I9" location="Other!A1" display="Other" xr:uid="{E00B0154-20B2-4BDE-9A31-EDF9564A2FB3}"/>
    <hyperlink ref="I10" location="Investments!A1" display="Investments" xr:uid="{B737B1AA-133E-49F4-B9D1-C05F75064CE0}"/>
    <hyperlink ref="I11" location="Solvency!A1" display="Solvency" xr:uid="{008650B0-7C88-4A41-8497-3E1E93E0CC5E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80" customWidth="1"/>
    <col min="2" max="2" width="44.85546875" style="80" bestFit="1" customWidth="1"/>
    <col min="3" max="6" width="13.42578125" style="80" customWidth="1"/>
    <col min="7" max="16384" width="11.42578125" style="80"/>
  </cols>
  <sheetData>
    <row r="1" spans="1:7" ht="16.5" customHeight="1" x14ac:dyDescent="0.25"/>
    <row r="2" spans="1:7" ht="18.75" customHeight="1" thickBot="1" x14ac:dyDescent="0.3">
      <c r="A2" s="95" t="s">
        <v>20</v>
      </c>
      <c r="B2" s="125" t="s">
        <v>116</v>
      </c>
      <c r="C2" s="23"/>
      <c r="D2" s="23"/>
      <c r="E2" s="23"/>
      <c r="F2" s="23"/>
    </row>
    <row r="4" spans="1:7" ht="16.5" customHeight="1" thickBot="1" x14ac:dyDescent="0.3">
      <c r="B4" s="19"/>
      <c r="C4" s="20" t="s">
        <v>6</v>
      </c>
      <c r="D4" s="20" t="s">
        <v>3</v>
      </c>
      <c r="E4" s="20" t="s">
        <v>4</v>
      </c>
      <c r="F4" s="25" t="s">
        <v>19</v>
      </c>
      <c r="G4" s="81"/>
    </row>
    <row r="5" spans="1:7" x14ac:dyDescent="0.25">
      <c r="B5" s="81" t="s">
        <v>117</v>
      </c>
      <c r="C5" s="82">
        <v>167878</v>
      </c>
      <c r="D5" s="82">
        <v>161007</v>
      </c>
      <c r="E5" s="82">
        <v>161004</v>
      </c>
      <c r="F5" s="36">
        <v>171657</v>
      </c>
      <c r="G5" s="81"/>
    </row>
    <row r="6" spans="1:7" x14ac:dyDescent="0.25">
      <c r="B6" s="81" t="s">
        <v>118</v>
      </c>
      <c r="C6" s="82">
        <v>94357</v>
      </c>
      <c r="D6" s="82">
        <v>104548</v>
      </c>
      <c r="E6" s="82">
        <v>113510</v>
      </c>
      <c r="F6" s="36">
        <v>132271</v>
      </c>
      <c r="G6" s="81"/>
    </row>
    <row r="7" spans="1:7" x14ac:dyDescent="0.25">
      <c r="B7" s="81" t="s">
        <v>119</v>
      </c>
      <c r="C7" s="82">
        <v>15833</v>
      </c>
      <c r="D7" s="82">
        <v>15886</v>
      </c>
      <c r="E7" s="82">
        <v>15291</v>
      </c>
      <c r="F7" s="36">
        <v>13086</v>
      </c>
      <c r="G7" s="81"/>
    </row>
    <row r="8" spans="1:7" x14ac:dyDescent="0.25">
      <c r="B8" s="81" t="s">
        <v>120</v>
      </c>
      <c r="C8" s="82">
        <v>1436</v>
      </c>
      <c r="D8" s="82">
        <v>2233</v>
      </c>
      <c r="E8" s="82">
        <v>2778</v>
      </c>
      <c r="F8" s="36">
        <v>3134</v>
      </c>
      <c r="G8" s="81"/>
    </row>
    <row r="9" spans="1:7" x14ac:dyDescent="0.25">
      <c r="B9" s="81" t="s">
        <v>121</v>
      </c>
      <c r="C9" s="83">
        <v>-58725</v>
      </c>
      <c r="D9" s="83">
        <v>-62201</v>
      </c>
      <c r="E9" s="83">
        <v>-65218</v>
      </c>
      <c r="F9" s="36">
        <f>F10-SUM(F5:F8)</f>
        <v>-71482</v>
      </c>
      <c r="G9" s="81"/>
    </row>
    <row r="10" spans="1:7" x14ac:dyDescent="0.25">
      <c r="B10" s="84" t="s">
        <v>122</v>
      </c>
      <c r="C10" s="85">
        <v>220779</v>
      </c>
      <c r="D10" s="85">
        <v>221473</v>
      </c>
      <c r="E10" s="85">
        <v>227365</v>
      </c>
      <c r="F10" s="35">
        <v>248666</v>
      </c>
      <c r="G10" s="81"/>
    </row>
    <row r="11" spans="1:7" x14ac:dyDescent="0.25">
      <c r="B11" s="81" t="s">
        <v>123</v>
      </c>
      <c r="C11" s="82">
        <v>24796</v>
      </c>
      <c r="D11" s="82">
        <v>26092</v>
      </c>
      <c r="E11" s="82">
        <v>26935</v>
      </c>
      <c r="F11" s="36">
        <v>27166</v>
      </c>
      <c r="G11" s="81"/>
    </row>
    <row r="12" spans="1:7" ht="14.25" thickBot="1" x14ac:dyDescent="0.3">
      <c r="B12" s="81" t="s">
        <v>124</v>
      </c>
      <c r="C12" s="83">
        <v>-61394</v>
      </c>
      <c r="D12" s="83">
        <v>-61891</v>
      </c>
      <c r="E12" s="83">
        <v>-63575</v>
      </c>
      <c r="F12" s="36">
        <v>-68958</v>
      </c>
      <c r="G12" s="81"/>
    </row>
    <row r="13" spans="1:7" ht="14.25" thickBot="1" x14ac:dyDescent="0.3">
      <c r="B13" s="129" t="s">
        <v>125</v>
      </c>
      <c r="C13" s="21">
        <v>184181</v>
      </c>
      <c r="D13" s="21">
        <v>185674</v>
      </c>
      <c r="E13" s="21">
        <v>190725</v>
      </c>
      <c r="F13" s="28">
        <v>206874</v>
      </c>
      <c r="G13" s="81"/>
    </row>
    <row r="14" spans="1:7" ht="9" customHeight="1" x14ac:dyDescent="0.25">
      <c r="B14" s="31"/>
      <c r="C14" s="41"/>
      <c r="D14" s="41"/>
      <c r="E14" s="41"/>
      <c r="F14" s="81"/>
      <c r="G14" s="81"/>
    </row>
    <row r="15" spans="1:7" x14ac:dyDescent="0.25">
      <c r="B15" s="81"/>
      <c r="C15" s="81"/>
      <c r="D15" s="81"/>
      <c r="E15" s="81"/>
      <c r="F15" s="131" t="s">
        <v>63</v>
      </c>
      <c r="G15" s="81"/>
    </row>
    <row r="16" spans="1:7" x14ac:dyDescent="0.25">
      <c r="B16" s="81"/>
      <c r="C16" s="81"/>
      <c r="D16" s="81"/>
      <c r="E16" s="81"/>
      <c r="F16" s="81"/>
      <c r="G16" s="81"/>
    </row>
    <row r="17" spans="2:7" x14ac:dyDescent="0.25">
      <c r="B17" s="81"/>
      <c r="C17" s="81"/>
      <c r="D17" s="81"/>
      <c r="E17" s="81"/>
      <c r="F17" s="81"/>
      <c r="G17" s="81"/>
    </row>
    <row r="18" spans="2:7" ht="14.25" thickBot="1" x14ac:dyDescent="0.3">
      <c r="B18" s="19"/>
      <c r="C18" s="20" t="s">
        <v>6</v>
      </c>
      <c r="D18" s="20" t="s">
        <v>3</v>
      </c>
      <c r="E18" s="20" t="s">
        <v>4</v>
      </c>
      <c r="F18" s="25" t="s">
        <v>19</v>
      </c>
      <c r="G18" s="81"/>
    </row>
    <row r="19" spans="2:7" x14ac:dyDescent="0.25">
      <c r="B19" s="84" t="s">
        <v>126</v>
      </c>
      <c r="C19" s="85">
        <v>82881</v>
      </c>
      <c r="D19" s="85">
        <v>83553</v>
      </c>
      <c r="E19" s="85">
        <v>85826</v>
      </c>
      <c r="F19" s="35">
        <v>93093</v>
      </c>
      <c r="G19" s="81"/>
    </row>
    <row r="20" spans="2:7" x14ac:dyDescent="0.25">
      <c r="B20" s="84" t="s">
        <v>125</v>
      </c>
      <c r="C20" s="85">
        <f t="shared" ref="C20" si="0">+C13</f>
        <v>184181</v>
      </c>
      <c r="D20" s="85">
        <f>+D13</f>
        <v>185674</v>
      </c>
      <c r="E20" s="85">
        <f>+E13</f>
        <v>190725</v>
      </c>
      <c r="F20" s="96">
        <f>+F13</f>
        <v>206874</v>
      </c>
      <c r="G20" s="81"/>
    </row>
    <row r="21" spans="2:7" x14ac:dyDescent="0.25">
      <c r="B21" s="84"/>
      <c r="C21" s="85"/>
      <c r="D21" s="85"/>
      <c r="E21" s="85"/>
      <c r="F21" s="35"/>
      <c r="G21" s="81"/>
    </row>
    <row r="22" spans="2:7" x14ac:dyDescent="0.25">
      <c r="B22" s="84" t="s">
        <v>127</v>
      </c>
      <c r="C22" s="85">
        <v>385270.20790162636</v>
      </c>
      <c r="D22" s="85">
        <v>391162.2635219369</v>
      </c>
      <c r="E22" s="85">
        <f>526011.113113886-120000</f>
        <v>406011.11311388598</v>
      </c>
      <c r="F22" s="35">
        <v>384082.53742492298</v>
      </c>
      <c r="G22" s="81"/>
    </row>
    <row r="23" spans="2:7" x14ac:dyDescent="0.25">
      <c r="B23" s="88" t="s">
        <v>128</v>
      </c>
      <c r="C23" s="89">
        <v>1</v>
      </c>
      <c r="D23" s="89">
        <v>1</v>
      </c>
      <c r="E23" s="89">
        <v>1</v>
      </c>
      <c r="F23" s="90">
        <v>1</v>
      </c>
      <c r="G23" s="81"/>
    </row>
    <row r="24" spans="2:7" ht="14.25" thickBot="1" x14ac:dyDescent="0.3">
      <c r="B24" s="84"/>
      <c r="C24" s="85"/>
      <c r="D24" s="85"/>
      <c r="E24" s="85"/>
      <c r="F24" s="35"/>
      <c r="G24" s="81"/>
    </row>
    <row r="25" spans="2:7" x14ac:dyDescent="0.25">
      <c r="B25" s="140" t="s">
        <v>129</v>
      </c>
      <c r="C25" s="86">
        <f t="shared" ref="C25" si="1">+C22/C19</f>
        <v>4.6484744139383736</v>
      </c>
      <c r="D25" s="86">
        <f>+D22/D19</f>
        <v>4.6816064476671917</v>
      </c>
      <c r="E25" s="86">
        <f>+E22/E19</f>
        <v>4.7306307309426741</v>
      </c>
      <c r="F25" s="97">
        <f>+F22/F19</f>
        <v>4.1257939632939422</v>
      </c>
      <c r="G25" s="81"/>
    </row>
    <row r="26" spans="2:7" ht="14.25" thickBot="1" x14ac:dyDescent="0.3">
      <c r="B26" s="141" t="s">
        <v>130</v>
      </c>
      <c r="C26" s="87">
        <f>+C22/C13</f>
        <v>2.0918021288929172</v>
      </c>
      <c r="D26" s="87">
        <f>+D22/D13</f>
        <v>2.1067153372143483</v>
      </c>
      <c r="E26" s="87">
        <f>+E22/E13</f>
        <v>2.1287776280712332</v>
      </c>
      <c r="F26" s="102">
        <f>+F22/F13</f>
        <v>1.8566013004288744</v>
      </c>
      <c r="G26" s="81"/>
    </row>
    <row r="27" spans="2:7" ht="9" customHeight="1" x14ac:dyDescent="0.25">
      <c r="B27" s="31"/>
      <c r="C27" s="41"/>
      <c r="D27" s="41"/>
      <c r="E27" s="41"/>
      <c r="F27" s="91"/>
      <c r="G27" s="91"/>
    </row>
    <row r="28" spans="2:7" x14ac:dyDescent="0.25">
      <c r="B28" s="81"/>
      <c r="C28" s="81"/>
      <c r="D28" s="81"/>
      <c r="E28" s="81"/>
      <c r="F28" s="131" t="s">
        <v>63</v>
      </c>
      <c r="G28" s="81"/>
    </row>
  </sheetData>
  <hyperlinks>
    <hyperlink ref="A2" location="'Financial supplement&gt;&gt;&gt;'!A1" display="INDEX" xr:uid="{10247556-FCE0-4E90-9E26-BE86854B33EF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J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1" customWidth="1"/>
    <col min="2" max="2" width="63.7109375" style="11" customWidth="1"/>
    <col min="3" max="5" width="13.28515625" style="11" customWidth="1"/>
    <col min="6" max="6" width="13.140625" style="11" bestFit="1" customWidth="1"/>
    <col min="7" max="16384" width="11.42578125" style="11"/>
  </cols>
  <sheetData>
    <row r="1" spans="1:6" ht="16.5" customHeight="1" x14ac:dyDescent="0.25">
      <c r="A1" s="10"/>
    </row>
    <row r="2" spans="1:6" ht="18.75" customHeight="1" thickBot="1" x14ac:dyDescent="0.3">
      <c r="A2" s="95" t="s">
        <v>20</v>
      </c>
      <c r="B2" s="125" t="s">
        <v>36</v>
      </c>
      <c r="C2" s="24"/>
      <c r="D2" s="24"/>
      <c r="E2" s="24"/>
      <c r="F2" s="24"/>
    </row>
    <row r="3" spans="1:6" x14ac:dyDescent="0.25">
      <c r="B3" s="12"/>
      <c r="C3" s="12"/>
      <c r="D3" s="12"/>
      <c r="E3" s="12"/>
      <c r="F3" s="12"/>
    </row>
    <row r="4" spans="1:6" ht="16.5" thickBot="1" x14ac:dyDescent="0.3">
      <c r="B4" s="126" t="s">
        <v>37</v>
      </c>
      <c r="C4" s="20" t="s">
        <v>6</v>
      </c>
      <c r="D4" s="20" t="s">
        <v>3</v>
      </c>
      <c r="E4" s="20" t="s">
        <v>4</v>
      </c>
      <c r="F4" s="25" t="s">
        <v>19</v>
      </c>
    </row>
    <row r="5" spans="1:6" x14ac:dyDescent="0.25">
      <c r="B5" s="127" t="s">
        <v>38</v>
      </c>
      <c r="C5" s="16">
        <v>166776</v>
      </c>
      <c r="D5" s="16">
        <v>144937</v>
      </c>
      <c r="E5" s="16">
        <v>162500</v>
      </c>
      <c r="F5" s="26">
        <v>115788</v>
      </c>
    </row>
    <row r="6" spans="1:6" x14ac:dyDescent="0.25">
      <c r="B6" s="127" t="s">
        <v>39</v>
      </c>
      <c r="C6" s="16">
        <f>SUM(C7:C8)</f>
        <v>782715</v>
      </c>
      <c r="D6" s="16">
        <f>SUM(D7:D8)</f>
        <v>834498</v>
      </c>
      <c r="E6" s="16">
        <f>SUM(E7:E8)</f>
        <v>917074</v>
      </c>
      <c r="F6" s="26">
        <f>SUM(F7:F8)</f>
        <v>864978</v>
      </c>
    </row>
    <row r="7" spans="1:6" x14ac:dyDescent="0.25">
      <c r="B7" s="128" t="s">
        <v>40</v>
      </c>
      <c r="C7" s="17">
        <v>88763</v>
      </c>
      <c r="D7" s="17">
        <v>116688</v>
      </c>
      <c r="E7" s="17">
        <v>125855</v>
      </c>
      <c r="F7" s="27">
        <v>153963</v>
      </c>
    </row>
    <row r="8" spans="1:6" x14ac:dyDescent="0.25">
      <c r="B8" s="128" t="s">
        <v>41</v>
      </c>
      <c r="C8" s="17">
        <v>693952</v>
      </c>
      <c r="D8" s="17">
        <v>717810</v>
      </c>
      <c r="E8" s="17">
        <v>791219</v>
      </c>
      <c r="F8" s="27">
        <v>711015</v>
      </c>
    </row>
    <row r="9" spans="1:6" x14ac:dyDescent="0.25">
      <c r="B9" s="127" t="s">
        <v>42</v>
      </c>
      <c r="C9" s="16">
        <v>115951</v>
      </c>
      <c r="D9" s="16">
        <v>106760</v>
      </c>
      <c r="E9" s="16">
        <v>110373</v>
      </c>
      <c r="F9" s="26">
        <v>120615</v>
      </c>
    </row>
    <row r="10" spans="1:6" x14ac:dyDescent="0.25">
      <c r="B10" s="127" t="s">
        <v>43</v>
      </c>
      <c r="C10" s="16">
        <v>7318</v>
      </c>
      <c r="D10" s="16">
        <v>9517</v>
      </c>
      <c r="E10" s="16">
        <v>12477</v>
      </c>
      <c r="F10" s="26">
        <v>20153</v>
      </c>
    </row>
    <row r="11" spans="1:6" x14ac:dyDescent="0.25">
      <c r="B11" s="127" t="s">
        <v>44</v>
      </c>
      <c r="C11" s="16">
        <f t="shared" ref="C11:E11" si="0">SUM(C12:C13)</f>
        <v>110844</v>
      </c>
      <c r="D11" s="16">
        <f t="shared" si="0"/>
        <v>114588</v>
      </c>
      <c r="E11" s="16">
        <f t="shared" si="0"/>
        <v>111282</v>
      </c>
      <c r="F11" s="26">
        <f t="shared" ref="F11" si="1">SUM(F12:F13)</f>
        <v>110721</v>
      </c>
    </row>
    <row r="12" spans="1:6" x14ac:dyDescent="0.25">
      <c r="B12" s="128" t="s">
        <v>45</v>
      </c>
      <c r="C12" s="17">
        <v>43386</v>
      </c>
      <c r="D12" s="17">
        <v>47918</v>
      </c>
      <c r="E12" s="17">
        <v>45334</v>
      </c>
      <c r="F12" s="27">
        <v>45264</v>
      </c>
    </row>
    <row r="13" spans="1:6" x14ac:dyDescent="0.25">
      <c r="B13" s="128" t="s">
        <v>46</v>
      </c>
      <c r="C13" s="17">
        <v>67458</v>
      </c>
      <c r="D13" s="17">
        <v>66670</v>
      </c>
      <c r="E13" s="17">
        <v>65948</v>
      </c>
      <c r="F13" s="27">
        <v>65457</v>
      </c>
    </row>
    <row r="14" spans="1:6" x14ac:dyDescent="0.25">
      <c r="B14" s="127" t="s">
        <v>47</v>
      </c>
      <c r="C14" s="16">
        <v>7593</v>
      </c>
      <c r="D14" s="16">
        <v>11845</v>
      </c>
      <c r="E14" s="16">
        <v>12688</v>
      </c>
      <c r="F14" s="26">
        <v>14121</v>
      </c>
    </row>
    <row r="15" spans="1:6" ht="16.5" thickBot="1" x14ac:dyDescent="0.3">
      <c r="B15" s="127" t="s">
        <v>48</v>
      </c>
      <c r="C15" s="16">
        <v>109552</v>
      </c>
      <c r="D15" s="16">
        <v>114481</v>
      </c>
      <c r="E15" s="16">
        <v>110139</v>
      </c>
      <c r="F15" s="26">
        <v>122102</v>
      </c>
    </row>
    <row r="16" spans="1:6" ht="16.5" thickBot="1" x14ac:dyDescent="0.3">
      <c r="B16" s="129" t="s">
        <v>49</v>
      </c>
      <c r="C16" s="21">
        <f>SUM(C5,C6,C9,C10,C11,C14,C15)</f>
        <v>1300749</v>
      </c>
      <c r="D16" s="21">
        <f t="shared" ref="D16:F16" si="2">SUM(D5,D6,D9,D10,D11,D14,D15)</f>
        <v>1336626</v>
      </c>
      <c r="E16" s="21">
        <f t="shared" si="2"/>
        <v>1436533</v>
      </c>
      <c r="F16" s="28">
        <f t="shared" si="2"/>
        <v>1368478</v>
      </c>
    </row>
    <row r="17" spans="2:10" s="4" customFormat="1" ht="9" customHeight="1" x14ac:dyDescent="0.25">
      <c r="B17" s="31"/>
      <c r="C17" s="64"/>
      <c r="D17" s="64"/>
      <c r="E17" s="64"/>
      <c r="F17" s="64"/>
      <c r="G17" s="64"/>
      <c r="H17" s="64"/>
      <c r="I17" s="64"/>
      <c r="J17" s="65"/>
    </row>
    <row r="18" spans="2:10" s="4" customFormat="1" ht="15" x14ac:dyDescent="0.25">
      <c r="B18" s="33"/>
      <c r="C18" s="66"/>
      <c r="D18" s="66"/>
      <c r="E18" s="66"/>
      <c r="F18" s="131" t="s">
        <v>63</v>
      </c>
      <c r="G18" s="66"/>
      <c r="I18" s="66"/>
    </row>
    <row r="19" spans="2:10" x14ac:dyDescent="0.25">
      <c r="B19" s="13"/>
      <c r="C19" s="14"/>
      <c r="D19" s="14"/>
      <c r="E19" s="14"/>
      <c r="F19" s="14"/>
    </row>
    <row r="21" spans="2:10" ht="16.5" thickBot="1" x14ac:dyDescent="0.3">
      <c r="B21" s="126" t="s">
        <v>50</v>
      </c>
      <c r="C21" s="20" t="s">
        <v>6</v>
      </c>
      <c r="D21" s="20" t="s">
        <v>3</v>
      </c>
      <c r="E21" s="20" t="s">
        <v>4</v>
      </c>
      <c r="F21" s="25" t="s">
        <v>19</v>
      </c>
    </row>
    <row r="22" spans="2:10" x14ac:dyDescent="0.25">
      <c r="B22" s="127" t="s">
        <v>51</v>
      </c>
      <c r="C22" s="16">
        <v>211889</v>
      </c>
      <c r="D22" s="16">
        <v>207608</v>
      </c>
      <c r="E22" s="16">
        <v>174445</v>
      </c>
      <c r="F22" s="26">
        <v>175406</v>
      </c>
    </row>
    <row r="23" spans="2:10" x14ac:dyDescent="0.25">
      <c r="B23" s="127" t="s">
        <v>52</v>
      </c>
      <c r="C23" s="16">
        <v>3385</v>
      </c>
      <c r="D23" s="16">
        <v>13584</v>
      </c>
      <c r="E23" s="16">
        <v>15167</v>
      </c>
      <c r="F23" s="26">
        <v>9447</v>
      </c>
    </row>
    <row r="24" spans="2:10" x14ac:dyDescent="0.25">
      <c r="B24" s="127" t="s">
        <v>53</v>
      </c>
      <c r="C24" s="16">
        <f>SUM(C25:C27)</f>
        <v>725891</v>
      </c>
      <c r="D24" s="16">
        <f>SUM(D25:D27)</f>
        <v>725860</v>
      </c>
      <c r="E24" s="16">
        <f>SUM(E25:E27)</f>
        <v>716491</v>
      </c>
      <c r="F24" s="26">
        <f>SUM(F25:F27)</f>
        <v>738158</v>
      </c>
    </row>
    <row r="25" spans="2:10" x14ac:dyDescent="0.25">
      <c r="B25" s="128" t="s">
        <v>54</v>
      </c>
      <c r="C25" s="17">
        <v>428118</v>
      </c>
      <c r="D25" s="17">
        <v>443115</v>
      </c>
      <c r="E25" s="17">
        <v>446423</v>
      </c>
      <c r="F25" s="27">
        <v>449740</v>
      </c>
    </row>
    <row r="26" spans="2:10" x14ac:dyDescent="0.25">
      <c r="B26" s="128" t="s">
        <v>55</v>
      </c>
      <c r="C26" s="17">
        <v>0</v>
      </c>
      <c r="D26" s="17">
        <v>6115</v>
      </c>
      <c r="E26" s="17">
        <v>4622</v>
      </c>
      <c r="F26" s="27">
        <v>3280</v>
      </c>
    </row>
    <row r="27" spans="2:10" x14ac:dyDescent="0.25">
      <c r="B27" s="128" t="s">
        <v>56</v>
      </c>
      <c r="C27" s="17">
        <v>297773</v>
      </c>
      <c r="D27" s="17">
        <v>276630</v>
      </c>
      <c r="E27" s="17">
        <v>265446</v>
      </c>
      <c r="F27" s="27">
        <v>285138</v>
      </c>
    </row>
    <row r="28" spans="2:10" x14ac:dyDescent="0.25">
      <c r="B28" s="127" t="s">
        <v>57</v>
      </c>
      <c r="C28" s="16">
        <v>24652</v>
      </c>
      <c r="D28" s="16">
        <v>22816</v>
      </c>
      <c r="E28" s="16">
        <v>16849</v>
      </c>
      <c r="F28" s="26">
        <v>22133</v>
      </c>
    </row>
    <row r="29" spans="2:10" ht="16.5" thickBot="1" x14ac:dyDescent="0.3">
      <c r="B29" s="127" t="s">
        <v>58</v>
      </c>
      <c r="C29" s="16">
        <v>46728</v>
      </c>
      <c r="D29" s="16">
        <v>41698</v>
      </c>
      <c r="E29" s="16">
        <v>46222</v>
      </c>
      <c r="F29" s="26">
        <v>45059</v>
      </c>
    </row>
    <row r="30" spans="2:10" ht="16.5" thickBot="1" x14ac:dyDescent="0.3">
      <c r="B30" s="129" t="s">
        <v>59</v>
      </c>
      <c r="C30" s="22">
        <f t="shared" ref="C30:D30" si="3">SUM(C29,C28,C24,C23,C22)</f>
        <v>1012545</v>
      </c>
      <c r="D30" s="22">
        <f t="shared" si="3"/>
        <v>1011566</v>
      </c>
      <c r="E30" s="22">
        <f>SUM(E29,E28,E24,E23,E22)</f>
        <v>969174</v>
      </c>
      <c r="F30" s="29">
        <f t="shared" ref="F30" si="4">SUM(F29,F28,F24,F23,F22)</f>
        <v>990203</v>
      </c>
    </row>
    <row r="31" spans="2:10" x14ac:dyDescent="0.25">
      <c r="B31" s="130" t="s">
        <v>60</v>
      </c>
      <c r="C31" s="17">
        <v>273634</v>
      </c>
      <c r="D31" s="17">
        <v>287881</v>
      </c>
      <c r="E31" s="17">
        <v>422727</v>
      </c>
      <c r="F31" s="27">
        <v>334909</v>
      </c>
    </row>
    <row r="32" spans="2:10" ht="16.5" thickBot="1" x14ac:dyDescent="0.3">
      <c r="B32" s="130" t="s">
        <v>61</v>
      </c>
      <c r="C32" s="17">
        <v>14570</v>
      </c>
      <c r="D32" s="17">
        <v>37179</v>
      </c>
      <c r="E32" s="17">
        <v>44632</v>
      </c>
      <c r="F32" s="27">
        <v>43366</v>
      </c>
    </row>
    <row r="33" spans="2:10" ht="16.5" thickBot="1" x14ac:dyDescent="0.3">
      <c r="B33" s="129" t="s">
        <v>62</v>
      </c>
      <c r="C33" s="22">
        <f t="shared" ref="C33:D33" si="5">SUM(C31:C32)</f>
        <v>288204</v>
      </c>
      <c r="D33" s="22">
        <f t="shared" si="5"/>
        <v>325060</v>
      </c>
      <c r="E33" s="22">
        <f>SUM(E31:E32)</f>
        <v>467359</v>
      </c>
      <c r="F33" s="29">
        <f t="shared" ref="F33" si="6">SUM(F31:F32)</f>
        <v>378275</v>
      </c>
    </row>
    <row r="34" spans="2:10" ht="16.5" thickBot="1" x14ac:dyDescent="0.3">
      <c r="B34" s="129" t="s">
        <v>137</v>
      </c>
      <c r="C34" s="22">
        <f>C33+C30</f>
        <v>1300749</v>
      </c>
      <c r="D34" s="22">
        <f>D33+D30</f>
        <v>1336626</v>
      </c>
      <c r="E34" s="22">
        <f>E33+E30</f>
        <v>1436533</v>
      </c>
      <c r="F34" s="29">
        <f>F33+F30</f>
        <v>1368478</v>
      </c>
    </row>
    <row r="35" spans="2:10" s="4" customFormat="1" ht="9" customHeight="1" x14ac:dyDescent="0.25">
      <c r="B35" s="31"/>
      <c r="C35" s="64"/>
      <c r="D35" s="64"/>
      <c r="E35" s="64"/>
      <c r="F35" s="64"/>
      <c r="G35" s="64"/>
      <c r="H35" s="64"/>
      <c r="I35" s="64"/>
      <c r="J35" s="65"/>
    </row>
    <row r="36" spans="2:10" s="4" customFormat="1" ht="15" x14ac:dyDescent="0.25">
      <c r="B36" s="33"/>
      <c r="C36" s="66"/>
      <c r="D36" s="66"/>
      <c r="E36" s="66"/>
      <c r="F36" s="131" t="s">
        <v>63</v>
      </c>
      <c r="G36" s="66"/>
      <c r="I36" s="66"/>
    </row>
    <row r="37" spans="2:10" x14ac:dyDescent="0.25">
      <c r="B37" s="13"/>
      <c r="C37" s="14"/>
      <c r="D37" s="14"/>
      <c r="E37" s="14"/>
      <c r="F37" s="14"/>
    </row>
    <row r="38" spans="2:10" x14ac:dyDescent="0.25">
      <c r="C38" s="15" t="str">
        <f>IF(ROUND(C34,5)=ROUND(C16,5),"OK","NOT OK")</f>
        <v>OK</v>
      </c>
      <c r="D38" s="15" t="str">
        <f t="shared" ref="D38:F38" si="7">IF(ROUND(D34,5)=ROUND(D16,5),"OK","NOT OK")</f>
        <v>OK</v>
      </c>
      <c r="E38" s="15" t="str">
        <f t="shared" si="7"/>
        <v>OK</v>
      </c>
      <c r="F38" s="15" t="str">
        <f t="shared" si="7"/>
        <v>OK</v>
      </c>
    </row>
  </sheetData>
  <conditionalFormatting sqref="F38">
    <cfRule type="cellIs" dxfId="7" priority="19" operator="equal">
      <formula>"NOT OK"</formula>
    </cfRule>
    <cfRule type="cellIs" dxfId="6" priority="20" operator="equal">
      <formula>"OK"</formula>
    </cfRule>
  </conditionalFormatting>
  <conditionalFormatting sqref="C38">
    <cfRule type="cellIs" dxfId="5" priority="13" operator="equal">
      <formula>"NOT OK"</formula>
    </cfRule>
    <cfRule type="cellIs" dxfId="4" priority="14" operator="equal">
      <formula>"OK"</formula>
    </cfRule>
  </conditionalFormatting>
  <conditionalFormatting sqref="D38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E38">
    <cfRule type="cellIs" dxfId="1" priority="3" operator="equal">
      <formula>"NOT OK"</formula>
    </cfRule>
    <cfRule type="cellIs" dxfId="0" priority="4" operator="equal">
      <formula>"OK"</formula>
    </cfRule>
  </conditionalFormatting>
  <hyperlinks>
    <hyperlink ref="A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C11:E11 C24:E24 C6:E6 C7:D7 C8:D8 C9:D9 C10:D10 F19:F20 F17 F6:F16 F18 F21:F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T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2.42578125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11" width="13.28515625" style="1" hidden="1" customWidth="1" outlineLevel="1"/>
    <col min="12" max="12" width="13.28515625" style="1" customWidth="1" collapsed="1"/>
    <col min="13" max="13" width="3" style="1" customWidth="1"/>
    <col min="14" max="16384" width="11.42578125" style="1"/>
  </cols>
  <sheetData>
    <row r="1" spans="1:19" ht="16.5" customHeight="1" x14ac:dyDescent="0.25"/>
    <row r="2" spans="1:19" ht="18.75" customHeight="1" thickBot="1" x14ac:dyDescent="0.3">
      <c r="A2" s="95" t="s">
        <v>20</v>
      </c>
      <c r="B2" s="125" t="s">
        <v>35</v>
      </c>
      <c r="C2" s="23"/>
      <c r="D2" s="23"/>
      <c r="E2" s="23"/>
      <c r="F2" s="23"/>
      <c r="G2" s="23"/>
      <c r="H2" s="23"/>
      <c r="I2" s="23"/>
      <c r="J2" s="23"/>
      <c r="K2" s="23"/>
      <c r="L2" s="23"/>
      <c r="N2" s="125" t="s">
        <v>34</v>
      </c>
      <c r="O2" s="23"/>
      <c r="P2" s="23"/>
      <c r="Q2" s="23"/>
      <c r="R2" s="23"/>
      <c r="S2" s="23"/>
    </row>
    <row r="3" spans="1:19" ht="15.75" x14ac:dyDescent="0.25">
      <c r="A3" s="30"/>
      <c r="B3" s="31"/>
      <c r="C3" s="32"/>
      <c r="D3" s="32"/>
      <c r="E3" s="31"/>
      <c r="F3" s="32"/>
      <c r="G3" s="32"/>
      <c r="H3" s="32"/>
      <c r="I3" s="32"/>
      <c r="J3" s="32"/>
      <c r="K3" s="32"/>
      <c r="L3" s="32"/>
    </row>
    <row r="4" spans="1:19" ht="16.5" thickBot="1" x14ac:dyDescent="0.3">
      <c r="A4" s="30"/>
      <c r="B4" s="37"/>
      <c r="C4" s="20" t="s">
        <v>6</v>
      </c>
      <c r="D4" s="20" t="s">
        <v>16</v>
      </c>
      <c r="E4" s="20" t="s">
        <v>3</v>
      </c>
      <c r="F4" s="20" t="s">
        <v>17</v>
      </c>
      <c r="G4" s="20" t="s">
        <v>14</v>
      </c>
      <c r="H4" s="20" t="s">
        <v>4</v>
      </c>
      <c r="I4" s="20" t="s">
        <v>132</v>
      </c>
      <c r="J4" s="20" t="s">
        <v>15</v>
      </c>
      <c r="K4" s="20" t="s">
        <v>13</v>
      </c>
      <c r="L4" s="25" t="s">
        <v>19</v>
      </c>
      <c r="N4" s="20" t="s">
        <v>64</v>
      </c>
      <c r="O4" s="20" t="s">
        <v>65</v>
      </c>
      <c r="P4" s="20" t="s">
        <v>133</v>
      </c>
      <c r="Q4" s="20" t="s">
        <v>134</v>
      </c>
      <c r="R4" s="20" t="s">
        <v>66</v>
      </c>
      <c r="S4" s="25" t="s">
        <v>67</v>
      </c>
    </row>
    <row r="5" spans="1:19" ht="15.75" x14ac:dyDescent="0.25">
      <c r="A5" s="30"/>
      <c r="B5" s="132" t="s">
        <v>68</v>
      </c>
      <c r="C5" s="18">
        <v>853119</v>
      </c>
      <c r="D5" s="18">
        <v>671237.88711999997</v>
      </c>
      <c r="E5" s="18">
        <v>891295</v>
      </c>
      <c r="F5" s="18">
        <v>451910</v>
      </c>
      <c r="G5" s="18">
        <v>675056.76400999993</v>
      </c>
      <c r="H5" s="18">
        <v>898614</v>
      </c>
      <c r="I5" s="18">
        <v>224067.56295000005</v>
      </c>
      <c r="J5" s="18">
        <v>456465</v>
      </c>
      <c r="K5" s="18">
        <v>682637.5491399999</v>
      </c>
      <c r="L5" s="35">
        <v>907189</v>
      </c>
      <c r="N5" s="18">
        <f t="shared" ref="N5:N18" si="0">G5-F5</f>
        <v>223146.76400999993</v>
      </c>
      <c r="O5" s="18">
        <f t="shared" ref="O5:O18" si="1">H5-G5</f>
        <v>223557.23599000007</v>
      </c>
      <c r="P5" s="18">
        <f>I5</f>
        <v>224067.56295000005</v>
      </c>
      <c r="Q5" s="18">
        <f>J5-I5</f>
        <v>232397.43704999995</v>
      </c>
      <c r="R5" s="18">
        <f>K5-J5</f>
        <v>226172.5491399999</v>
      </c>
      <c r="S5" s="35">
        <f t="shared" ref="S5:S17" si="2">L5-K5</f>
        <v>224551.4508600001</v>
      </c>
    </row>
    <row r="6" spans="1:19" ht="15.75" x14ac:dyDescent="0.25">
      <c r="A6" s="30"/>
      <c r="B6" s="132" t="s">
        <v>69</v>
      </c>
      <c r="C6" s="18">
        <v>816289</v>
      </c>
      <c r="D6" s="18">
        <v>641351.88182999962</v>
      </c>
      <c r="E6" s="18">
        <v>854762</v>
      </c>
      <c r="F6" s="18">
        <v>434400</v>
      </c>
      <c r="G6" s="18">
        <v>654226.95956999995</v>
      </c>
      <c r="H6" s="18">
        <v>878177</v>
      </c>
      <c r="I6" s="18">
        <v>216385.21531999999</v>
      </c>
      <c r="J6" s="18">
        <v>435993</v>
      </c>
      <c r="K6" s="18">
        <v>658532.16795000026</v>
      </c>
      <c r="L6" s="35">
        <v>882728</v>
      </c>
      <c r="N6" s="18">
        <f t="shared" si="0"/>
        <v>219826.95956999995</v>
      </c>
      <c r="O6" s="18">
        <f t="shared" si="1"/>
        <v>223950.04043000005</v>
      </c>
      <c r="P6" s="18">
        <f t="shared" ref="P6:P18" si="3">I6</f>
        <v>216385.21531999999</v>
      </c>
      <c r="Q6" s="18">
        <f t="shared" ref="Q6:Q18" si="4">J6-I6</f>
        <v>219607.78468000001</v>
      </c>
      <c r="R6" s="18">
        <f t="shared" ref="R6:R18" si="5">K6-J6</f>
        <v>222539.16795000026</v>
      </c>
      <c r="S6" s="35">
        <f t="shared" si="2"/>
        <v>224195.83204999974</v>
      </c>
    </row>
    <row r="7" spans="1:19" ht="15.75" x14ac:dyDescent="0.25">
      <c r="A7" s="30"/>
      <c r="B7" s="133" t="s">
        <v>70</v>
      </c>
      <c r="C7" s="34">
        <v>-528029</v>
      </c>
      <c r="D7" s="34">
        <v>-434879.50449328037</v>
      </c>
      <c r="E7" s="34">
        <v>-580987</v>
      </c>
      <c r="F7" s="34">
        <v>-279624</v>
      </c>
      <c r="G7" s="34">
        <v>-404121.66815101047</v>
      </c>
      <c r="H7" s="34">
        <v>-540064</v>
      </c>
      <c r="I7" s="34">
        <v>-142363.91162216419</v>
      </c>
      <c r="J7" s="34">
        <v>-284885</v>
      </c>
      <c r="K7" s="34">
        <v>-434205.32618606143</v>
      </c>
      <c r="L7" s="36">
        <v>-597820</v>
      </c>
      <c r="N7" s="34">
        <f t="shared" si="0"/>
        <v>-124497.66815101047</v>
      </c>
      <c r="O7" s="34">
        <f t="shared" si="1"/>
        <v>-135942.33184898953</v>
      </c>
      <c r="P7" s="34">
        <f t="shared" si="3"/>
        <v>-142363.91162216419</v>
      </c>
      <c r="Q7" s="34">
        <f t="shared" si="4"/>
        <v>-142521.08837783581</v>
      </c>
      <c r="R7" s="34">
        <f t="shared" si="5"/>
        <v>-149320.32618606143</v>
      </c>
      <c r="S7" s="36">
        <f t="shared" si="2"/>
        <v>-163614.67381393857</v>
      </c>
    </row>
    <row r="8" spans="1:19" ht="15.75" x14ac:dyDescent="0.25">
      <c r="A8" s="30"/>
      <c r="B8" s="133" t="s">
        <v>71</v>
      </c>
      <c r="C8" s="34">
        <v>-196176</v>
      </c>
      <c r="D8" s="34">
        <v>-149071.66064898294</v>
      </c>
      <c r="E8" s="34">
        <v>-199919</v>
      </c>
      <c r="F8" s="34">
        <v>-101365</v>
      </c>
      <c r="G8" s="34">
        <v>-154592.63530112992</v>
      </c>
      <c r="H8" s="34">
        <v>-209603</v>
      </c>
      <c r="I8" s="34">
        <v>-46564.200517859994</v>
      </c>
      <c r="J8" s="34">
        <v>-97485</v>
      </c>
      <c r="K8" s="34">
        <v>-149806.46006821495</v>
      </c>
      <c r="L8" s="36">
        <v>-203458</v>
      </c>
      <c r="N8" s="34">
        <f t="shared" si="0"/>
        <v>-53227.635301129922</v>
      </c>
      <c r="O8" s="34">
        <f t="shared" si="1"/>
        <v>-55010.364698870078</v>
      </c>
      <c r="P8" s="34">
        <f t="shared" si="3"/>
        <v>-46564.200517859994</v>
      </c>
      <c r="Q8" s="34">
        <f t="shared" si="4"/>
        <v>-50920.799482140006</v>
      </c>
      <c r="R8" s="34">
        <f t="shared" si="5"/>
        <v>-52321.460068214947</v>
      </c>
      <c r="S8" s="36">
        <f t="shared" si="2"/>
        <v>-53651.539931785053</v>
      </c>
    </row>
    <row r="9" spans="1:19" ht="15.75" x14ac:dyDescent="0.25">
      <c r="A9" s="30"/>
      <c r="B9" s="133" t="s">
        <v>72</v>
      </c>
      <c r="C9" s="34">
        <v>25728</v>
      </c>
      <c r="D9" s="34">
        <v>23267.081610000001</v>
      </c>
      <c r="E9" s="34">
        <v>29794</v>
      </c>
      <c r="F9" s="34">
        <v>8623</v>
      </c>
      <c r="G9" s="34">
        <v>14051.203730000003</v>
      </c>
      <c r="H9" s="34">
        <v>17429</v>
      </c>
      <c r="I9" s="34">
        <v>4087.7680699999992</v>
      </c>
      <c r="J9" s="34">
        <v>9516</v>
      </c>
      <c r="K9" s="34">
        <v>15089.09052</v>
      </c>
      <c r="L9" s="36">
        <v>22185</v>
      </c>
      <c r="N9" s="34">
        <f t="shared" si="0"/>
        <v>5428.2037300000029</v>
      </c>
      <c r="O9" s="34">
        <f t="shared" si="1"/>
        <v>3377.7962699999971</v>
      </c>
      <c r="P9" s="34">
        <f t="shared" si="3"/>
        <v>4087.7680699999992</v>
      </c>
      <c r="Q9" s="34">
        <f t="shared" si="4"/>
        <v>5428.2319300000008</v>
      </c>
      <c r="R9" s="34">
        <f t="shared" si="5"/>
        <v>5573.0905199999997</v>
      </c>
      <c r="S9" s="36">
        <f t="shared" si="2"/>
        <v>7095.9094800000003</v>
      </c>
    </row>
    <row r="10" spans="1:19" ht="15.75" x14ac:dyDescent="0.25">
      <c r="A10" s="30"/>
      <c r="B10" s="132" t="s">
        <v>73</v>
      </c>
      <c r="C10" s="18">
        <f t="shared" ref="C10:G10" si="6">SUM(C6:C9)</f>
        <v>117812</v>
      </c>
      <c r="D10" s="18">
        <f>SUM(D6:D9)</f>
        <v>80667.798297736299</v>
      </c>
      <c r="E10" s="18">
        <f t="shared" si="6"/>
        <v>103650</v>
      </c>
      <c r="F10" s="18">
        <f t="shared" si="6"/>
        <v>62034</v>
      </c>
      <c r="G10" s="18">
        <f t="shared" si="6"/>
        <v>109563.85984785957</v>
      </c>
      <c r="H10" s="18">
        <f>SUM(H6:H9)</f>
        <v>145939</v>
      </c>
      <c r="I10" s="18">
        <f>SUM(I6:I9)</f>
        <v>31544.871249975804</v>
      </c>
      <c r="J10" s="18">
        <f>SUM(J6:J9)</f>
        <v>63139</v>
      </c>
      <c r="K10" s="18">
        <f>SUM(K6:K9)</f>
        <v>89609.472215723887</v>
      </c>
      <c r="L10" s="35">
        <f>SUM(L6:L9)</f>
        <v>103635</v>
      </c>
      <c r="N10" s="18">
        <f t="shared" si="0"/>
        <v>47529.859847859567</v>
      </c>
      <c r="O10" s="18">
        <f t="shared" si="1"/>
        <v>36375.140152140433</v>
      </c>
      <c r="P10" s="18">
        <f t="shared" si="3"/>
        <v>31544.871249975804</v>
      </c>
      <c r="Q10" s="18">
        <f t="shared" si="4"/>
        <v>31594.128750024196</v>
      </c>
      <c r="R10" s="18">
        <f t="shared" si="5"/>
        <v>26470.472215723887</v>
      </c>
      <c r="S10" s="35">
        <f t="shared" si="2"/>
        <v>14025.527784276113</v>
      </c>
    </row>
    <row r="11" spans="1:19" ht="15.75" x14ac:dyDescent="0.25">
      <c r="A11" s="30"/>
      <c r="B11" s="133" t="s">
        <v>74</v>
      </c>
      <c r="C11" s="34">
        <v>52021</v>
      </c>
      <c r="D11" s="34">
        <v>54355.569459999992</v>
      </c>
      <c r="E11" s="34">
        <v>70687</v>
      </c>
      <c r="F11" s="34">
        <v>34974</v>
      </c>
      <c r="G11" s="34">
        <v>50657.768469999995</v>
      </c>
      <c r="H11" s="34">
        <v>76613</v>
      </c>
      <c r="I11" s="34">
        <v>13375.052290000003</v>
      </c>
      <c r="J11" s="34">
        <v>22769</v>
      </c>
      <c r="K11" s="34">
        <v>39281.246479999987</v>
      </c>
      <c r="L11" s="36">
        <v>57904</v>
      </c>
      <c r="N11" s="34">
        <f t="shared" si="0"/>
        <v>15683.768469999995</v>
      </c>
      <c r="O11" s="34">
        <f t="shared" si="1"/>
        <v>25955.231530000005</v>
      </c>
      <c r="P11" s="34">
        <f t="shared" si="3"/>
        <v>13375.052290000003</v>
      </c>
      <c r="Q11" s="34">
        <f t="shared" si="4"/>
        <v>9393.9477099999967</v>
      </c>
      <c r="R11" s="34">
        <f t="shared" si="5"/>
        <v>16512.246479999987</v>
      </c>
      <c r="S11" s="36">
        <f t="shared" si="2"/>
        <v>18622.753520000013</v>
      </c>
    </row>
    <row r="12" spans="1:19" ht="15.75" x14ac:dyDescent="0.25">
      <c r="A12" s="30"/>
      <c r="B12" s="133" t="s">
        <v>75</v>
      </c>
      <c r="C12" s="34">
        <v>-18547</v>
      </c>
      <c r="D12" s="34">
        <v>-32709.224891641526</v>
      </c>
      <c r="E12" s="34">
        <v>-39117</v>
      </c>
      <c r="F12" s="34">
        <v>-21932</v>
      </c>
      <c r="G12" s="34">
        <v>-32428.553819042852</v>
      </c>
      <c r="H12" s="34">
        <v>-47360</v>
      </c>
      <c r="I12" s="34">
        <v>-6437.2700690954216</v>
      </c>
      <c r="J12" s="34">
        <v>-9974</v>
      </c>
      <c r="K12" s="34">
        <v>-17173.93199369132</v>
      </c>
      <c r="L12" s="36">
        <v>-23243</v>
      </c>
      <c r="N12" s="34">
        <f t="shared" si="0"/>
        <v>-10496.553819042852</v>
      </c>
      <c r="O12" s="34">
        <f t="shared" si="1"/>
        <v>-14931.446180957148</v>
      </c>
      <c r="P12" s="34">
        <f t="shared" si="3"/>
        <v>-6437.2700690954216</v>
      </c>
      <c r="Q12" s="34">
        <f t="shared" si="4"/>
        <v>-3536.7299309045784</v>
      </c>
      <c r="R12" s="34">
        <f t="shared" si="5"/>
        <v>-7199.9319936913198</v>
      </c>
      <c r="S12" s="36">
        <f t="shared" si="2"/>
        <v>-6069.0680063086802</v>
      </c>
    </row>
    <row r="13" spans="1:19" ht="15.75" x14ac:dyDescent="0.25">
      <c r="A13" s="30"/>
      <c r="B13" s="132" t="s">
        <v>76</v>
      </c>
      <c r="C13" s="18">
        <f>SUM(C11:C12)</f>
        <v>33474</v>
      </c>
      <c r="D13" s="18">
        <f>SUM(D11:D12)</f>
        <v>21646.344568358465</v>
      </c>
      <c r="E13" s="18">
        <f t="shared" ref="E13:G13" si="7">SUM(E11:E12)</f>
        <v>31570</v>
      </c>
      <c r="F13" s="18">
        <f t="shared" ref="F13" si="8">SUM(F11:F12)</f>
        <v>13042</v>
      </c>
      <c r="G13" s="18">
        <f t="shared" si="7"/>
        <v>18229.214650957143</v>
      </c>
      <c r="H13" s="18">
        <f>SUM(H11:H12)</f>
        <v>29253</v>
      </c>
      <c r="I13" s="18">
        <f>SUM(I11:I12)</f>
        <v>6937.7822209045817</v>
      </c>
      <c r="J13" s="18">
        <f>SUM(J11:J12)</f>
        <v>12795</v>
      </c>
      <c r="K13" s="18">
        <f>SUM(K11:K12)</f>
        <v>22107.314486308667</v>
      </c>
      <c r="L13" s="35">
        <f>SUM(L11:L12)</f>
        <v>34661</v>
      </c>
      <c r="N13" s="18">
        <f t="shared" si="0"/>
        <v>5187.214650957143</v>
      </c>
      <c r="O13" s="18">
        <f t="shared" si="1"/>
        <v>11023.785349042857</v>
      </c>
      <c r="P13" s="18">
        <f t="shared" si="3"/>
        <v>6937.7822209045817</v>
      </c>
      <c r="Q13" s="18">
        <f t="shared" si="4"/>
        <v>5857.2177790954183</v>
      </c>
      <c r="R13" s="18">
        <f t="shared" si="5"/>
        <v>9312.3144863086673</v>
      </c>
      <c r="S13" s="35">
        <f t="shared" si="2"/>
        <v>12553.685513691333</v>
      </c>
    </row>
    <row r="14" spans="1:19" ht="15.75" x14ac:dyDescent="0.25">
      <c r="A14" s="30"/>
      <c r="B14" s="132" t="s">
        <v>77</v>
      </c>
      <c r="C14" s="18">
        <f>SUM(C13,C10)</f>
        <v>151286</v>
      </c>
      <c r="D14" s="18">
        <f>SUM(D13,D10)</f>
        <v>102314.14286609477</v>
      </c>
      <c r="E14" s="18">
        <f t="shared" ref="E14:G14" si="9">SUM(E13,E10)</f>
        <v>135220</v>
      </c>
      <c r="F14" s="18">
        <f t="shared" ref="F14" si="10">SUM(F13,F10)</f>
        <v>75076</v>
      </c>
      <c r="G14" s="18">
        <f t="shared" si="9"/>
        <v>127793.07449881671</v>
      </c>
      <c r="H14" s="18">
        <f>SUM(H13,H10)</f>
        <v>175192</v>
      </c>
      <c r="I14" s="18">
        <f>SUM(I13,I10)</f>
        <v>38482.653470880388</v>
      </c>
      <c r="J14" s="18">
        <f>SUM(J13,J10)</f>
        <v>75934</v>
      </c>
      <c r="K14" s="18">
        <f>SUM(K13,K10)</f>
        <v>111716.78670203255</v>
      </c>
      <c r="L14" s="35">
        <f>SUM(L13,L10)</f>
        <v>138296</v>
      </c>
      <c r="N14" s="18">
        <f t="shared" si="0"/>
        <v>52717.074498816713</v>
      </c>
      <c r="O14" s="18">
        <f t="shared" si="1"/>
        <v>47398.925501183287</v>
      </c>
      <c r="P14" s="18">
        <f t="shared" si="3"/>
        <v>38482.653470880388</v>
      </c>
      <c r="Q14" s="18">
        <f t="shared" si="4"/>
        <v>37451.346529119612</v>
      </c>
      <c r="R14" s="18">
        <f t="shared" si="5"/>
        <v>35782.78670203255</v>
      </c>
      <c r="S14" s="35">
        <f t="shared" si="2"/>
        <v>26579.21329796745</v>
      </c>
    </row>
    <row r="15" spans="1:19" ht="15.75" x14ac:dyDescent="0.25">
      <c r="A15" s="30"/>
      <c r="B15" s="133" t="s">
        <v>78</v>
      </c>
      <c r="C15" s="34">
        <v>4677</v>
      </c>
      <c r="D15" s="34">
        <v>5809.7359739047224</v>
      </c>
      <c r="E15" s="34">
        <v>7617</v>
      </c>
      <c r="F15" s="34">
        <v>3444</v>
      </c>
      <c r="G15" s="34">
        <v>5116.6454408655263</v>
      </c>
      <c r="H15" s="34">
        <v>4432</v>
      </c>
      <c r="I15" s="34">
        <v>944.2133928551732</v>
      </c>
      <c r="J15" s="34">
        <v>1684</v>
      </c>
      <c r="K15" s="34">
        <v>3360.7093052500841</v>
      </c>
      <c r="L15" s="36">
        <v>6884</v>
      </c>
      <c r="N15" s="34">
        <f t="shared" si="0"/>
        <v>1672.6454408655263</v>
      </c>
      <c r="O15" s="34">
        <f t="shared" si="1"/>
        <v>-684.64544086552633</v>
      </c>
      <c r="P15" s="34">
        <f t="shared" si="3"/>
        <v>944.2133928551732</v>
      </c>
      <c r="Q15" s="34">
        <f t="shared" si="4"/>
        <v>739.7866071448268</v>
      </c>
      <c r="R15" s="34">
        <f t="shared" si="5"/>
        <v>1676.7093052500841</v>
      </c>
      <c r="S15" s="36">
        <f t="shared" si="2"/>
        <v>3523.2906947499159</v>
      </c>
    </row>
    <row r="16" spans="1:19" ht="15.75" x14ac:dyDescent="0.25">
      <c r="A16" s="30"/>
      <c r="B16" s="132" t="s">
        <v>79</v>
      </c>
      <c r="C16" s="18">
        <f>SUM(C14:C15)</f>
        <v>155963</v>
      </c>
      <c r="D16" s="18">
        <f>SUM(D14:D15)</f>
        <v>108123.8788399995</v>
      </c>
      <c r="E16" s="18">
        <f t="shared" ref="E16:G16" si="11">SUM(E14:E15)</f>
        <v>142837</v>
      </c>
      <c r="F16" s="18">
        <f t="shared" ref="F16" si="12">SUM(F14:F15)</f>
        <v>78520</v>
      </c>
      <c r="G16" s="18">
        <f t="shared" si="11"/>
        <v>132909.71993968223</v>
      </c>
      <c r="H16" s="18">
        <f>SUM(H14:H15)</f>
        <v>179624</v>
      </c>
      <c r="I16" s="18">
        <f>SUM(I14:I15)</f>
        <v>39426.866863735559</v>
      </c>
      <c r="J16" s="18">
        <f>SUM(J14:J15)</f>
        <v>77618</v>
      </c>
      <c r="K16" s="18">
        <f>SUM(K14:K15)</f>
        <v>115077.49600728264</v>
      </c>
      <c r="L16" s="35">
        <f>SUM(L14:L15)</f>
        <v>145180</v>
      </c>
      <c r="N16" s="18">
        <f t="shared" si="0"/>
        <v>54389.719939682225</v>
      </c>
      <c r="O16" s="18">
        <f t="shared" si="1"/>
        <v>46714.280060317775</v>
      </c>
      <c r="P16" s="18">
        <f t="shared" si="3"/>
        <v>39426.866863735559</v>
      </c>
      <c r="Q16" s="18">
        <f t="shared" si="4"/>
        <v>38191.133136264441</v>
      </c>
      <c r="R16" s="18">
        <f t="shared" si="5"/>
        <v>37459.496007282636</v>
      </c>
      <c r="S16" s="35">
        <f t="shared" si="2"/>
        <v>30102.503992717364</v>
      </c>
    </row>
    <row r="17" spans="1:20" ht="16.5" thickBot="1" x14ac:dyDescent="0.3">
      <c r="A17" s="30"/>
      <c r="B17" s="133" t="s">
        <v>80</v>
      </c>
      <c r="C17" s="34">
        <v>-38752</v>
      </c>
      <c r="D17" s="34">
        <v>-26601.341855272254</v>
      </c>
      <c r="E17" s="34">
        <v>-35542</v>
      </c>
      <c r="F17" s="34">
        <v>-19631</v>
      </c>
      <c r="G17" s="34">
        <v>-33255.541249920563</v>
      </c>
      <c r="H17" s="34">
        <v>-44778</v>
      </c>
      <c r="I17" s="34">
        <v>-9826.86348</v>
      </c>
      <c r="J17" s="34">
        <v>-19408</v>
      </c>
      <c r="K17" s="34">
        <v>-28784.250481820487</v>
      </c>
      <c r="L17" s="36">
        <v>-35043</v>
      </c>
      <c r="N17" s="34">
        <f t="shared" si="0"/>
        <v>-13624.541249920563</v>
      </c>
      <c r="O17" s="34">
        <f t="shared" si="1"/>
        <v>-11522.458750079437</v>
      </c>
      <c r="P17" s="34">
        <f t="shared" si="3"/>
        <v>-9826.86348</v>
      </c>
      <c r="Q17" s="34">
        <f t="shared" si="4"/>
        <v>-9581.13652</v>
      </c>
      <c r="R17" s="34">
        <f t="shared" si="5"/>
        <v>-9376.250481820487</v>
      </c>
      <c r="S17" s="36">
        <f t="shared" si="2"/>
        <v>-6258.749518179513</v>
      </c>
    </row>
    <row r="18" spans="1:20" ht="16.5" thickBot="1" x14ac:dyDescent="0.3">
      <c r="A18" s="30"/>
      <c r="B18" s="134" t="s">
        <v>81</v>
      </c>
      <c r="C18" s="21">
        <f>SUM(C16:C17)</f>
        <v>117211</v>
      </c>
      <c r="D18" s="21">
        <f>SUM(D16:D17)</f>
        <v>81522.536984727238</v>
      </c>
      <c r="E18" s="21">
        <f t="shared" ref="E18:G18" si="13">SUM(E16:E17)</f>
        <v>107295</v>
      </c>
      <c r="F18" s="21">
        <f t="shared" si="13"/>
        <v>58889</v>
      </c>
      <c r="G18" s="21">
        <f t="shared" si="13"/>
        <v>99654.178689761669</v>
      </c>
      <c r="H18" s="21">
        <f>SUM(H16:H17)</f>
        <v>134846</v>
      </c>
      <c r="I18" s="21">
        <f>SUM(I16:I17)</f>
        <v>29600.003383735559</v>
      </c>
      <c r="J18" s="21">
        <f>SUM(J16:J17)</f>
        <v>58210</v>
      </c>
      <c r="K18" s="21">
        <f>SUM(K16:K17)</f>
        <v>86293.245525462145</v>
      </c>
      <c r="L18" s="28">
        <f>SUM(L16:L17)</f>
        <v>110137</v>
      </c>
      <c r="N18" s="21">
        <f t="shared" si="0"/>
        <v>40765.178689761669</v>
      </c>
      <c r="O18" s="21">
        <f t="shared" si="1"/>
        <v>35191.821310238331</v>
      </c>
      <c r="P18" s="21">
        <f t="shared" si="3"/>
        <v>29600.003383735559</v>
      </c>
      <c r="Q18" s="21">
        <f t="shared" si="4"/>
        <v>28609.996616264441</v>
      </c>
      <c r="R18" s="21">
        <f t="shared" si="5"/>
        <v>28083.245525462145</v>
      </c>
      <c r="S18" s="28">
        <f>L18-K18</f>
        <v>23843.754474537855</v>
      </c>
    </row>
    <row r="19" spans="1:20" s="4" customFormat="1" ht="9" customHeight="1" x14ac:dyDescent="0.25"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20" s="4" customFormat="1" x14ac:dyDescent="0.25">
      <c r="C20" s="66"/>
      <c r="D20" s="66"/>
      <c r="E20" s="66"/>
      <c r="F20" s="66"/>
      <c r="G20" s="66"/>
      <c r="H20" s="66"/>
      <c r="I20" s="144"/>
      <c r="J20" s="66"/>
      <c r="K20" s="66"/>
      <c r="L20" s="131" t="s">
        <v>63</v>
      </c>
      <c r="M20" s="66"/>
      <c r="N20" s="66"/>
      <c r="O20" s="66"/>
      <c r="P20" s="144"/>
      <c r="Q20" s="144"/>
      <c r="R20" s="66"/>
      <c r="S20" s="131" t="s">
        <v>63</v>
      </c>
    </row>
    <row r="21" spans="1:20" x14ac:dyDescent="0.25">
      <c r="B21" s="135"/>
      <c r="C21" s="2"/>
      <c r="D21" s="2"/>
      <c r="E21" s="3"/>
      <c r="F21" s="2"/>
      <c r="G21" s="2"/>
      <c r="H21" s="2"/>
      <c r="J21" s="2"/>
      <c r="K21" s="2"/>
      <c r="L21" s="2"/>
      <c r="N21" s="2"/>
      <c r="O21" s="2"/>
      <c r="R21" s="2"/>
      <c r="S21" s="2"/>
    </row>
    <row r="22" spans="1:20" x14ac:dyDescent="0.25">
      <c r="C22" s="2"/>
      <c r="D22" s="2"/>
      <c r="E22" s="7"/>
      <c r="F22" s="2"/>
      <c r="G22" s="2"/>
      <c r="H22" s="2"/>
      <c r="J22" s="2"/>
      <c r="K22" s="2"/>
      <c r="L22" s="2"/>
      <c r="N22" s="2"/>
      <c r="O22" s="2"/>
      <c r="R22" s="2"/>
      <c r="S22" s="2"/>
    </row>
    <row r="23" spans="1:20" ht="15.75" thickBot="1" x14ac:dyDescent="0.3">
      <c r="B23" s="136"/>
      <c r="C23" s="61" t="s">
        <v>6</v>
      </c>
      <c r="D23" s="20" t="s">
        <v>16</v>
      </c>
      <c r="E23" s="61" t="s">
        <v>3</v>
      </c>
      <c r="F23" s="20" t="s">
        <v>17</v>
      </c>
      <c r="G23" s="20" t="s">
        <v>14</v>
      </c>
      <c r="H23" s="61" t="s">
        <v>4</v>
      </c>
      <c r="I23" s="20" t="s">
        <v>132</v>
      </c>
      <c r="J23" s="20" t="s">
        <v>15</v>
      </c>
      <c r="K23" s="20" t="s">
        <v>13</v>
      </c>
      <c r="L23" s="63" t="s">
        <v>19</v>
      </c>
      <c r="N23" s="20" t="s">
        <v>64</v>
      </c>
      <c r="O23" s="20" t="s">
        <v>65</v>
      </c>
      <c r="P23" s="20" t="s">
        <v>133</v>
      </c>
      <c r="Q23" s="20" t="s">
        <v>134</v>
      </c>
      <c r="R23" s="20" t="s">
        <v>66</v>
      </c>
      <c r="S23" s="25" t="s">
        <v>67</v>
      </c>
    </row>
    <row r="24" spans="1:20" x14ac:dyDescent="0.25">
      <c r="B24" s="130" t="s">
        <v>82</v>
      </c>
      <c r="C24" s="65">
        <f>-C7/C6</f>
        <v>0.64686526463054139</v>
      </c>
      <c r="D24" s="65">
        <f>-D7/D6</f>
        <v>0.67806693457017408</v>
      </c>
      <c r="E24" s="65">
        <f t="shared" ref="E24:G24" si="14">-E7/E6</f>
        <v>0.67970616382104021</v>
      </c>
      <c r="F24" s="65">
        <f t="shared" ref="F24" si="15">-F7/F6</f>
        <v>0.64370165745856356</v>
      </c>
      <c r="G24" s="65">
        <f t="shared" si="14"/>
        <v>0.61770867470308044</v>
      </c>
      <c r="H24" s="65">
        <f>-H7/H6</f>
        <v>0.61498308427572124</v>
      </c>
      <c r="I24" s="65">
        <f>-I7/I6</f>
        <v>0.6579188481598901</v>
      </c>
      <c r="J24" s="65">
        <f t="shared" ref="J24" si="16">-J7/J6</f>
        <v>0.65341645393389347</v>
      </c>
      <c r="K24" s="65">
        <f>-K7/K6</f>
        <v>0.65935325154689928</v>
      </c>
      <c r="L24" s="68">
        <f>-L7/L6</f>
        <v>0.67724146056316326</v>
      </c>
      <c r="N24" s="65">
        <f t="shared" ref="N24:S24" si="17">-N7/N6</f>
        <v>0.56634394796042486</v>
      </c>
      <c r="O24" s="65">
        <f t="shared" si="17"/>
        <v>0.60702079619173344</v>
      </c>
      <c r="P24" s="65">
        <f t="shared" si="17"/>
        <v>0.6579188481598901</v>
      </c>
      <c r="Q24" s="65">
        <f t="shared" si="17"/>
        <v>0.64898012875777356</v>
      </c>
      <c r="R24" s="65">
        <f t="shared" si="17"/>
        <v>0.67098447235863878</v>
      </c>
      <c r="S24" s="68">
        <f t="shared" si="17"/>
        <v>0.72978463657366088</v>
      </c>
    </row>
    <row r="25" spans="1:20" ht="15.75" thickBot="1" x14ac:dyDescent="0.3">
      <c r="B25" s="130" t="s">
        <v>83</v>
      </c>
      <c r="C25" s="65">
        <f>-(C8+C9)/C6</f>
        <v>0.20880839996618844</v>
      </c>
      <c r="D25" s="65">
        <f>-(D8+D9)/D6</f>
        <v>0.19615531286821644</v>
      </c>
      <c r="E25" s="65">
        <f t="shared" ref="E25:G25" si="18">-(E8+E9)/E6</f>
        <v>0.19903201124991518</v>
      </c>
      <c r="F25" s="65">
        <f t="shared" ref="F25" si="19">-(F8+F9)/F6</f>
        <v>0.21349447513812156</v>
      </c>
      <c r="G25" s="65">
        <f t="shared" si="18"/>
        <v>0.21482060547230089</v>
      </c>
      <c r="H25" s="65">
        <f>-(H8+H9)/H6</f>
        <v>0.21883287765450474</v>
      </c>
      <c r="I25" s="65">
        <f>-(I8+I9)/I6</f>
        <v>0.19630006784448734</v>
      </c>
      <c r="J25" s="65">
        <f t="shared" ref="J25" si="20">-(J8+J9)/J6</f>
        <v>0.20176700084634386</v>
      </c>
      <c r="K25" s="65">
        <f>-(K8+K9)/K6</f>
        <v>0.2045721926805609</v>
      </c>
      <c r="L25" s="68">
        <f>-(L8+L9)/L6</f>
        <v>0.20535544357944915</v>
      </c>
      <c r="N25" s="65">
        <f t="shared" ref="N25:S25" si="21">-(N8+N9)/N6</f>
        <v>0.21744117129504786</v>
      </c>
      <c r="O25" s="65">
        <f t="shared" si="21"/>
        <v>0.23055395895321951</v>
      </c>
      <c r="P25" s="65">
        <f t="shared" si="21"/>
        <v>0.19630006784448734</v>
      </c>
      <c r="Q25" s="65">
        <f t="shared" si="21"/>
        <v>0.20715371095987872</v>
      </c>
      <c r="R25" s="65">
        <f t="shared" si="21"/>
        <v>0.21006805219438179</v>
      </c>
      <c r="S25" s="68">
        <f t="shared" si="21"/>
        <v>0.20765609256019665</v>
      </c>
    </row>
    <row r="26" spans="1:20" ht="15.75" thickBot="1" x14ac:dyDescent="0.3">
      <c r="B26" s="134" t="s">
        <v>84</v>
      </c>
      <c r="C26" s="69">
        <f>-(C7+C8+C9)/C6</f>
        <v>0.85567366459672989</v>
      </c>
      <c r="D26" s="69">
        <f>-(D7+D8+D9)/D6</f>
        <v>0.8742222474383905</v>
      </c>
      <c r="E26" s="69">
        <f t="shared" ref="E26:G26" si="22">-(E7+E8+E9)/E6</f>
        <v>0.87873817507095542</v>
      </c>
      <c r="F26" s="69">
        <f t="shared" ref="F26" si="23">-(F7+F8+F9)/F6</f>
        <v>0.85719613259668503</v>
      </c>
      <c r="G26" s="69">
        <f t="shared" si="22"/>
        <v>0.83252928017538153</v>
      </c>
      <c r="H26" s="69">
        <f>-(H7+H8+H9)/H6</f>
        <v>0.83381596193022589</v>
      </c>
      <c r="I26" s="69">
        <f>-(I7+I8+I9)/I6</f>
        <v>0.85421891600437749</v>
      </c>
      <c r="J26" s="69">
        <f t="shared" ref="J26" si="24">-(J7+J8+J9)/J6</f>
        <v>0.85518345478023727</v>
      </c>
      <c r="K26" s="69">
        <f>-(K7+K8+K9)/K6</f>
        <v>0.8639254442274602</v>
      </c>
      <c r="L26" s="71">
        <f>-(L7+L8+L9)/L6</f>
        <v>0.88259690414261249</v>
      </c>
      <c r="N26" s="69">
        <f t="shared" ref="N26:S26" si="25">-(N7+N8+N9)/N6</f>
        <v>0.78378511925547267</v>
      </c>
      <c r="O26" s="69">
        <f t="shared" si="25"/>
        <v>0.83757475514495305</v>
      </c>
      <c r="P26" s="69">
        <f t="shared" si="25"/>
        <v>0.85421891600437749</v>
      </c>
      <c r="Q26" s="69">
        <f t="shared" si="25"/>
        <v>0.85613383971765211</v>
      </c>
      <c r="R26" s="69">
        <f t="shared" si="25"/>
        <v>0.88105252455302052</v>
      </c>
      <c r="S26" s="71">
        <f t="shared" si="25"/>
        <v>0.93744072913385756</v>
      </c>
      <c r="T26" s="103"/>
    </row>
    <row r="29" spans="1:20" x14ac:dyDescent="0.25">
      <c r="S29" s="106"/>
    </row>
  </sheetData>
  <hyperlinks>
    <hyperlink ref="A2" location="'Financial supplement&gt;&gt;&gt;'!A1" display="INDEX" xr:uid="{6B0DFF7D-D407-46C3-BA79-3AB9AD5C486C}"/>
  </hyperlinks>
  <pageMargins left="0.7" right="0.7" top="0.75" bottom="0.75" header="0.3" footer="0.3"/>
  <pageSetup paperSize="9" scale="63" orientation="landscape" r:id="rId1"/>
  <colBreaks count="1" manualBreakCount="1">
    <brk id="19" max="1048575" man="1"/>
  </colBreaks>
  <ignoredErrors>
    <ignoredError sqref="C10 K10:L10 E10:H10 I10:J10" formulaRange="1"/>
    <ignoredError sqref="P5:P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AK14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4" customWidth="1"/>
    <col min="2" max="2" width="14.28515625" style="4" customWidth="1"/>
    <col min="3" max="3" width="11.28515625" style="4" customWidth="1"/>
    <col min="4" max="4" width="11.28515625" style="4" hidden="1" customWidth="1" outlineLevel="1"/>
    <col min="5" max="5" width="11.28515625" style="4" customWidth="1" collapsed="1"/>
    <col min="6" max="7" width="11.28515625" style="4" hidden="1" customWidth="1" outlineLevel="1"/>
    <col min="8" max="8" width="11.28515625" style="4" customWidth="1" collapsed="1"/>
    <col min="9" max="11" width="11.28515625" style="4" hidden="1" customWidth="1" outlineLevel="1"/>
    <col min="12" max="12" width="11.28515625" style="4" customWidth="1" collapsed="1"/>
    <col min="13" max="13" width="11.28515625" style="4" customWidth="1"/>
    <col min="14" max="14" width="1.5703125" style="8" customWidth="1"/>
    <col min="15" max="15" width="11.28515625" style="4" customWidth="1"/>
    <col min="16" max="16" width="11.28515625" style="4" hidden="1" customWidth="1" outlineLevel="1"/>
    <col min="17" max="17" width="11.28515625" style="4" customWidth="1" collapsed="1"/>
    <col min="18" max="19" width="11.28515625" style="4" hidden="1" customWidth="1" outlineLevel="1"/>
    <col min="20" max="20" width="11.28515625" style="4" customWidth="1" collapsed="1"/>
    <col min="21" max="23" width="11.28515625" style="4" hidden="1" customWidth="1" outlineLevel="1"/>
    <col min="24" max="24" width="11.28515625" style="4" customWidth="1" collapsed="1"/>
    <col min="25" max="25" width="11.28515625" style="4" customWidth="1"/>
    <col min="26" max="26" width="1.5703125" style="43" customWidth="1"/>
    <col min="27" max="27" width="11.28515625" style="4" customWidth="1"/>
    <col min="28" max="28" width="11.28515625" style="4" hidden="1" customWidth="1" outlineLevel="1"/>
    <col min="29" max="29" width="11.28515625" style="4" customWidth="1" collapsed="1"/>
    <col min="30" max="31" width="11.28515625" style="4" hidden="1" customWidth="1" outlineLevel="1"/>
    <col min="32" max="32" width="11.28515625" style="4" customWidth="1" collapsed="1"/>
    <col min="33" max="35" width="11.28515625" style="4" hidden="1" customWidth="1" outlineLevel="1"/>
    <col min="36" max="36" width="11.28515625" style="4" customWidth="1" collapsed="1"/>
    <col min="37" max="37" width="11.28515625" style="4" customWidth="1"/>
    <col min="38" max="16384" width="11.42578125" style="4"/>
  </cols>
  <sheetData>
    <row r="1" spans="1:37" ht="16.5" customHeight="1" x14ac:dyDescent="0.25"/>
    <row r="2" spans="1:37" ht="18.75" customHeight="1" thickBot="1" x14ac:dyDescent="0.3">
      <c r="A2" s="95" t="s">
        <v>20</v>
      </c>
      <c r="B2" s="125" t="s">
        <v>85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5">
      <c r="A3" s="39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5">
      <c r="A4" s="39"/>
      <c r="B4" s="44"/>
      <c r="C4" s="146" t="s">
        <v>86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40"/>
      <c r="O4" s="146" t="s">
        <v>73</v>
      </c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40"/>
      <c r="AA4" s="146" t="s">
        <v>84</v>
      </c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15.75" thickBot="1" x14ac:dyDescent="0.3">
      <c r="A5" s="39"/>
      <c r="B5" s="37"/>
      <c r="C5" s="53" t="s">
        <v>6</v>
      </c>
      <c r="D5" s="53" t="s">
        <v>16</v>
      </c>
      <c r="E5" s="53" t="s">
        <v>3</v>
      </c>
      <c r="F5" s="53" t="s">
        <v>17</v>
      </c>
      <c r="G5" s="53" t="s">
        <v>14</v>
      </c>
      <c r="H5" s="53" t="s">
        <v>4</v>
      </c>
      <c r="I5" s="145" t="s">
        <v>132</v>
      </c>
      <c r="J5" s="53" t="s">
        <v>15</v>
      </c>
      <c r="K5" s="53" t="s">
        <v>13</v>
      </c>
      <c r="L5" s="54" t="s">
        <v>19</v>
      </c>
      <c r="M5" s="55" t="s">
        <v>0</v>
      </c>
      <c r="N5" s="56"/>
      <c r="O5" s="53" t="s">
        <v>6</v>
      </c>
      <c r="P5" s="53" t="s">
        <v>16</v>
      </c>
      <c r="Q5" s="53" t="s">
        <v>3</v>
      </c>
      <c r="R5" s="53" t="s">
        <v>17</v>
      </c>
      <c r="S5" s="53" t="s">
        <v>14</v>
      </c>
      <c r="T5" s="53" t="s">
        <v>4</v>
      </c>
      <c r="U5" s="145" t="s">
        <v>132</v>
      </c>
      <c r="V5" s="145" t="s">
        <v>15</v>
      </c>
      <c r="W5" s="53" t="s">
        <v>13</v>
      </c>
      <c r="X5" s="54" t="s">
        <v>19</v>
      </c>
      <c r="Y5" s="55" t="s">
        <v>0</v>
      </c>
      <c r="Z5" s="56"/>
      <c r="AA5" s="53" t="s">
        <v>6</v>
      </c>
      <c r="AB5" s="53" t="s">
        <v>16</v>
      </c>
      <c r="AC5" s="53" t="s">
        <v>3</v>
      </c>
      <c r="AD5" s="53" t="s">
        <v>17</v>
      </c>
      <c r="AE5" s="53" t="s">
        <v>14</v>
      </c>
      <c r="AF5" s="53" t="s">
        <v>4</v>
      </c>
      <c r="AG5" s="145" t="s">
        <v>132</v>
      </c>
      <c r="AH5" s="145" t="s">
        <v>15</v>
      </c>
      <c r="AI5" s="53" t="s">
        <v>13</v>
      </c>
      <c r="AJ5" s="54" t="s">
        <v>19</v>
      </c>
      <c r="AK5" s="55" t="s">
        <v>18</v>
      </c>
    </row>
    <row r="6" spans="1:37" x14ac:dyDescent="0.25">
      <c r="A6" s="39"/>
      <c r="B6" s="130" t="s">
        <v>24</v>
      </c>
      <c r="C6" s="64">
        <v>741178</v>
      </c>
      <c r="D6" s="64">
        <v>573625.1777</v>
      </c>
      <c r="E6" s="64">
        <v>761158.29799999995</v>
      </c>
      <c r="F6" s="64">
        <v>377490.58504999999</v>
      </c>
      <c r="G6" s="64">
        <v>567177.75003999996</v>
      </c>
      <c r="H6" s="64">
        <v>754656.36600000004</v>
      </c>
      <c r="I6" s="64">
        <v>178953.18767000001</v>
      </c>
      <c r="J6" s="64">
        <v>373700.42211000004</v>
      </c>
      <c r="K6" s="64">
        <v>563300.91514000006</v>
      </c>
      <c r="L6" s="107">
        <v>748100</v>
      </c>
      <c r="M6" s="46">
        <f>+L6/H6-1</f>
        <v>-8.6878827177349072E-3</v>
      </c>
      <c r="N6" s="46"/>
      <c r="O6" s="64">
        <v>114974</v>
      </c>
      <c r="P6" s="64">
        <v>77269.079859267789</v>
      </c>
      <c r="Q6" s="64">
        <v>106533</v>
      </c>
      <c r="R6" s="64">
        <v>58351</v>
      </c>
      <c r="S6" s="64">
        <v>108794.48834439731</v>
      </c>
      <c r="T6" s="64">
        <v>146481</v>
      </c>
      <c r="U6" s="64">
        <v>31113.336343296778</v>
      </c>
      <c r="V6" s="64">
        <v>60590</v>
      </c>
      <c r="W6" s="64">
        <v>85631.862512646418</v>
      </c>
      <c r="X6" s="107">
        <v>96993</v>
      </c>
      <c r="Y6" s="46">
        <f>+X6/T6-1</f>
        <v>-0.33784586396870586</v>
      </c>
      <c r="Z6" s="46"/>
      <c r="AA6" s="57">
        <v>0.83998519180371911</v>
      </c>
      <c r="AB6" s="57">
        <v>0.86158632267781621</v>
      </c>
      <c r="AC6" s="57">
        <v>0.85763501441249534</v>
      </c>
      <c r="AD6" s="57">
        <v>0.84404485621970904</v>
      </c>
      <c r="AE6" s="57">
        <v>0.80661844089481582</v>
      </c>
      <c r="AF6" s="57">
        <v>0.80536802173783062</v>
      </c>
      <c r="AG6" s="57">
        <v>0.83116221798944634</v>
      </c>
      <c r="AH6" s="57">
        <v>0.83659919203033395</v>
      </c>
      <c r="AI6" s="57">
        <v>0.84690835828096978</v>
      </c>
      <c r="AJ6" s="58">
        <v>0.87021020482720701</v>
      </c>
      <c r="AK6" s="47">
        <f>(AJ6-AF6)*100</f>
        <v>6.4842183089376393</v>
      </c>
    </row>
    <row r="7" spans="1:37" x14ac:dyDescent="0.25">
      <c r="A7" s="39"/>
      <c r="B7" s="130" t="s">
        <v>25</v>
      </c>
      <c r="C7" s="64">
        <v>100691</v>
      </c>
      <c r="D7" s="64">
        <v>82446.400180000026</v>
      </c>
      <c r="E7" s="64">
        <v>111356.549</v>
      </c>
      <c r="F7" s="64">
        <v>59705.956969999999</v>
      </c>
      <c r="G7" s="64">
        <v>89543.79578</v>
      </c>
      <c r="H7" s="64">
        <v>120653.628</v>
      </c>
      <c r="I7" s="64">
        <v>31763.592860000001</v>
      </c>
      <c r="J7" s="64">
        <v>64779.205790000007</v>
      </c>
      <c r="K7" s="64">
        <v>97044.810309999986</v>
      </c>
      <c r="L7" s="107">
        <v>131243</v>
      </c>
      <c r="M7" s="46">
        <f>+L7/H7-1</f>
        <v>8.7766710173025286E-2</v>
      </c>
      <c r="N7" s="46"/>
      <c r="O7" s="64">
        <v>8694</v>
      </c>
      <c r="P7" s="64">
        <v>8624.6461006365007</v>
      </c>
      <c r="Q7" s="64">
        <v>12347</v>
      </c>
      <c r="R7" s="64">
        <v>6097</v>
      </c>
      <c r="S7" s="64">
        <v>5427.218407247964</v>
      </c>
      <c r="T7" s="64">
        <v>6684</v>
      </c>
      <c r="U7" s="64">
        <v>499.93791671772857</v>
      </c>
      <c r="V7" s="64">
        <v>5090.1000000000004</v>
      </c>
      <c r="W7" s="64">
        <v>8590.3283707111441</v>
      </c>
      <c r="X7" s="107">
        <v>13171</v>
      </c>
      <c r="Y7" s="46">
        <f>+X7/T7-1</f>
        <v>0.97052663076002399</v>
      </c>
      <c r="Z7" s="46"/>
      <c r="AA7" s="57">
        <v>0.90591520031166817</v>
      </c>
      <c r="AB7" s="57">
        <v>0.88654844417606182</v>
      </c>
      <c r="AC7" s="57">
        <v>0.87972920319501269</v>
      </c>
      <c r="AD7" s="57">
        <v>0.88768668779024995</v>
      </c>
      <c r="AE7" s="57">
        <v>0.93426737590583953</v>
      </c>
      <c r="AF7" s="57">
        <v>0.94007853262331231</v>
      </c>
      <c r="AG7" s="57">
        <v>0.98259656541624618</v>
      </c>
      <c r="AH7" s="57">
        <v>0.91249183371729181</v>
      </c>
      <c r="AI7" s="57">
        <v>0.90270149047864323</v>
      </c>
      <c r="AJ7" s="58">
        <v>0.88937857458516889</v>
      </c>
      <c r="AK7" s="100">
        <f t="shared" ref="AK7:AK10" si="0">(AJ7-AF7)*100</f>
        <v>-5.0699958038143418</v>
      </c>
    </row>
    <row r="8" spans="1:37" x14ac:dyDescent="0.25">
      <c r="A8" s="39"/>
      <c r="B8" s="130" t="s">
        <v>26</v>
      </c>
      <c r="C8" s="64">
        <v>7518</v>
      </c>
      <c r="D8" s="64">
        <v>12243.391560000002</v>
      </c>
      <c r="E8" s="64">
        <v>15744</v>
      </c>
      <c r="F8" s="64">
        <v>13257.647209999999</v>
      </c>
      <c r="G8" s="64">
        <v>16876.646899999996</v>
      </c>
      <c r="H8" s="64">
        <v>21826</v>
      </c>
      <c r="I8" s="64">
        <v>12002.315490000001</v>
      </c>
      <c r="J8" s="64">
        <v>16622.485779999999</v>
      </c>
      <c r="K8" s="64">
        <v>20912.694649999998</v>
      </c>
      <c r="L8" s="107">
        <v>26449</v>
      </c>
      <c r="M8" s="46">
        <f>+L8/H8-1</f>
        <v>0.2118116008430313</v>
      </c>
      <c r="N8" s="46"/>
      <c r="O8" s="64">
        <v>-7042</v>
      </c>
      <c r="P8" s="64">
        <v>-6229.9020976889951</v>
      </c>
      <c r="Q8" s="64">
        <v>-16346</v>
      </c>
      <c r="R8" s="64">
        <v>-2658</v>
      </c>
      <c r="S8" s="64">
        <v>-5037.0967525568076</v>
      </c>
      <c r="T8" s="64">
        <v>-7890</v>
      </c>
      <c r="U8" s="64">
        <v>-161.50111219251329</v>
      </c>
      <c r="V8" s="64">
        <v>-3006</v>
      </c>
      <c r="W8" s="64">
        <v>-5209.2778021447957</v>
      </c>
      <c r="X8" s="107">
        <v>-7210</v>
      </c>
      <c r="Y8" s="46">
        <f>+X8/T8-1</f>
        <v>-8.6185044359949337E-2</v>
      </c>
      <c r="Z8" s="46"/>
      <c r="AA8" s="57">
        <v>4.2799254774103401</v>
      </c>
      <c r="AB8" s="57">
        <v>2.3088475175085561</v>
      </c>
      <c r="AC8" s="57">
        <v>22.852941176470587</v>
      </c>
      <c r="AD8" s="57">
        <v>1.5441852187619376</v>
      </c>
      <c r="AE8" s="57">
        <v>1.6647337419040928</v>
      </c>
      <c r="AF8" s="57">
        <v>1.656405990016639</v>
      </c>
      <c r="AG8" s="57">
        <v>1.0528599565326944</v>
      </c>
      <c r="AH8" s="57">
        <v>1.4739829706717125</v>
      </c>
      <c r="AI8" s="57">
        <v>1.5282904972535181</v>
      </c>
      <c r="AJ8" s="58">
        <v>1.4811908131874167</v>
      </c>
      <c r="AK8" s="100">
        <f t="shared" si="0"/>
        <v>-17.521517682922227</v>
      </c>
    </row>
    <row r="9" spans="1:37" ht="15.75" thickBot="1" x14ac:dyDescent="0.3">
      <c r="A9" s="39"/>
      <c r="B9" s="130" t="s">
        <v>27</v>
      </c>
      <c r="C9" s="64">
        <v>3733</v>
      </c>
      <c r="D9" s="64">
        <v>2922.9176800000005</v>
      </c>
      <c r="E9" s="64">
        <v>3036</v>
      </c>
      <c r="F9" s="64">
        <v>1455.98549</v>
      </c>
      <c r="G9" s="64">
        <v>1458.5712900000001</v>
      </c>
      <c r="H9" s="64">
        <v>1478</v>
      </c>
      <c r="I9" s="64">
        <v>1348.46693</v>
      </c>
      <c r="J9" s="64">
        <v>1363.2525899999998</v>
      </c>
      <c r="K9" s="64">
        <v>1379.12904</v>
      </c>
      <c r="L9" s="107">
        <v>1397</v>
      </c>
      <c r="M9" s="46">
        <f>+L9/H9-1</f>
        <v>-5.4803788903924233E-2</v>
      </c>
      <c r="N9" s="46"/>
      <c r="O9" s="64">
        <v>1186</v>
      </c>
      <c r="P9" s="64">
        <v>1003.9744355210007</v>
      </c>
      <c r="Q9" s="64">
        <v>1116</v>
      </c>
      <c r="R9" s="64">
        <v>248</v>
      </c>
      <c r="S9" s="64">
        <v>379.24984877120119</v>
      </c>
      <c r="T9" s="64">
        <v>664</v>
      </c>
      <c r="U9" s="64">
        <v>93.098102153760124</v>
      </c>
      <c r="V9" s="64">
        <v>464.49118294079932</v>
      </c>
      <c r="W9" s="64">
        <v>596.55913451119875</v>
      </c>
      <c r="X9" s="107">
        <v>681</v>
      </c>
      <c r="Y9" s="46">
        <f>+X9/T9-1</f>
        <v>2.5602409638554313E-2</v>
      </c>
      <c r="Z9" s="46"/>
      <c r="AA9" s="57">
        <v>0.63110419906687398</v>
      </c>
      <c r="AB9" s="57">
        <v>0.56801466267811263</v>
      </c>
      <c r="AC9" s="57">
        <v>0.63316912972085382</v>
      </c>
      <c r="AD9" s="57">
        <v>0.76975401576572056</v>
      </c>
      <c r="AE9" s="57">
        <v>0.7462364568024481</v>
      </c>
      <c r="AF9" s="57">
        <v>0.66899302093718838</v>
      </c>
      <c r="AG9" s="57">
        <v>0.71274124047723175</v>
      </c>
      <c r="AH9" s="57">
        <v>0.31556677519061266</v>
      </c>
      <c r="AI9" s="57">
        <v>0.42239009208261347</v>
      </c>
      <c r="AJ9" s="58">
        <v>0.50931268712671374</v>
      </c>
      <c r="AK9" s="100">
        <f t="shared" si="0"/>
        <v>-15.968033381047464</v>
      </c>
    </row>
    <row r="10" spans="1:37" ht="15.75" thickBot="1" x14ac:dyDescent="0.3">
      <c r="A10" s="39"/>
      <c r="B10" s="134" t="s">
        <v>1</v>
      </c>
      <c r="C10" s="108">
        <f t="shared" ref="C10:I10" si="1">SUM(C6:C9)</f>
        <v>853120</v>
      </c>
      <c r="D10" s="108">
        <f>SUM(D6:D9)</f>
        <v>671237.88711999997</v>
      </c>
      <c r="E10" s="108">
        <f t="shared" si="1"/>
        <v>891294.84699999995</v>
      </c>
      <c r="F10" s="108">
        <f>SUM(F6:F9)</f>
        <v>451910.17472000001</v>
      </c>
      <c r="G10" s="108">
        <f>SUM(G6:G9)</f>
        <v>675056.76401000004</v>
      </c>
      <c r="H10" s="108">
        <f t="shared" si="1"/>
        <v>898613.99400000006</v>
      </c>
      <c r="I10" s="108">
        <f t="shared" si="1"/>
        <v>224067.56295000002</v>
      </c>
      <c r="J10" s="108">
        <f>SUM(J6:J9)</f>
        <v>456465.36627000006</v>
      </c>
      <c r="K10" s="108">
        <f>SUM(K6:K9)</f>
        <v>682637.54914000002</v>
      </c>
      <c r="L10" s="109">
        <f>SUM(L6:L9)</f>
        <v>907189</v>
      </c>
      <c r="M10" s="51">
        <f>+L10/H10-1</f>
        <v>9.5424799271486282E-3</v>
      </c>
      <c r="N10" s="45"/>
      <c r="O10" s="108">
        <f t="shared" ref="O10:U10" si="2">SUM(O6:O9)</f>
        <v>117812</v>
      </c>
      <c r="P10" s="108">
        <f>SUM(P6:P9)</f>
        <v>80667.798297736299</v>
      </c>
      <c r="Q10" s="108">
        <f t="shared" si="2"/>
        <v>103650</v>
      </c>
      <c r="R10" s="108">
        <f>SUM(R6:R9)</f>
        <v>62038</v>
      </c>
      <c r="S10" s="108">
        <f>SUM(S6:S9)</f>
        <v>109563.85984785965</v>
      </c>
      <c r="T10" s="108">
        <f t="shared" si="2"/>
        <v>145939</v>
      </c>
      <c r="U10" s="108">
        <f t="shared" si="2"/>
        <v>31544.871249975753</v>
      </c>
      <c r="V10" s="108">
        <f>SUM(V6:V9)</f>
        <v>63138.591182940807</v>
      </c>
      <c r="W10" s="108">
        <f>SUM(W6:W9)</f>
        <v>89609.472215723959</v>
      </c>
      <c r="X10" s="109">
        <f>SUM(X6:X9)</f>
        <v>103635</v>
      </c>
      <c r="Y10" s="51">
        <f>+X10/T10-1</f>
        <v>-0.28987453662146512</v>
      </c>
      <c r="Z10" s="45"/>
      <c r="AA10" s="59">
        <v>0.85567366459672978</v>
      </c>
      <c r="AB10" s="59">
        <v>0.8742222474383905</v>
      </c>
      <c r="AC10" s="59">
        <v>0.87873817507095542</v>
      </c>
      <c r="AD10" s="59">
        <v>0.85718813439399422</v>
      </c>
      <c r="AE10" s="59">
        <v>0.83252928017538141</v>
      </c>
      <c r="AF10" s="59">
        <v>0.833815961930226</v>
      </c>
      <c r="AG10" s="59">
        <v>0.85421891600437738</v>
      </c>
      <c r="AH10" s="59">
        <v>0.85518345478023727</v>
      </c>
      <c r="AI10" s="59">
        <v>0.8639254442274602</v>
      </c>
      <c r="AJ10" s="60">
        <v>0.88259779338749644</v>
      </c>
      <c r="AK10" s="101">
        <f t="shared" si="0"/>
        <v>4.8781831457270446</v>
      </c>
    </row>
    <row r="11" spans="1:37" ht="9" customHeight="1" x14ac:dyDescent="0.25">
      <c r="A11" s="39"/>
      <c r="B11" s="3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42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2"/>
      <c r="Z11" s="42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2"/>
    </row>
    <row r="12" spans="1:37" x14ac:dyDescent="0.25">
      <c r="A12" s="39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131" t="s">
        <v>87</v>
      </c>
    </row>
    <row r="13" spans="1:37" x14ac:dyDescent="0.25">
      <c r="O13" s="9"/>
      <c r="P13" s="9"/>
      <c r="Q13" s="9"/>
      <c r="R13" s="9"/>
      <c r="T13" s="9"/>
      <c r="U13" s="9"/>
      <c r="V13" s="9"/>
    </row>
    <row r="14" spans="1:37" x14ac:dyDescent="0.25">
      <c r="O14" s="9"/>
      <c r="P14" s="9"/>
      <c r="Q14" s="9"/>
      <c r="R14" s="9"/>
      <c r="T14" s="9"/>
      <c r="U14" s="9"/>
      <c r="V14" s="9"/>
    </row>
  </sheetData>
  <mergeCells count="3">
    <mergeCell ref="C4:M4"/>
    <mergeCell ref="O4:Y4"/>
    <mergeCell ref="AA4:AK4"/>
  </mergeCells>
  <hyperlinks>
    <hyperlink ref="A2" location="'Financial supplement&gt;&gt;&gt;'!A1" display="INDEX" xr:uid="{210AC70C-A478-436E-83A1-5BED5D59B424}"/>
  </hyperlinks>
  <pageMargins left="0.7" right="0.7" top="0.75" bottom="0.75" header="0.3" footer="0.3"/>
  <pageSetup paperSize="9" scale="66" orientation="landscape" r:id="rId1"/>
  <ignoredErrors>
    <ignoredError sqref="L11 AK11" formulaRange="1"/>
    <ignoredError sqref="O10:O11 AJ11 AA11 M11 X11:Y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U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2851562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3" width="11" style="5" customWidth="1"/>
    <col min="14" max="14" width="3" style="1" customWidth="1"/>
    <col min="15" max="16384" width="10.85546875" style="5"/>
  </cols>
  <sheetData>
    <row r="1" spans="1:20" ht="16.5" customHeight="1" x14ac:dyDescent="0.2"/>
    <row r="2" spans="1:20" ht="18.75" customHeight="1" thickBot="1" x14ac:dyDescent="0.25">
      <c r="A2" s="95" t="s">
        <v>20</v>
      </c>
      <c r="B2" s="23" t="s">
        <v>30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125" t="s">
        <v>34</v>
      </c>
      <c r="P2" s="23"/>
      <c r="Q2" s="23"/>
      <c r="R2" s="23"/>
      <c r="S2" s="23"/>
      <c r="T2" s="23"/>
    </row>
    <row r="4" spans="1:20" s="4" customFormat="1" ht="15.75" thickBot="1" x14ac:dyDescent="0.3">
      <c r="B4" s="37"/>
      <c r="C4" s="61" t="s">
        <v>6</v>
      </c>
      <c r="D4" s="61" t="s">
        <v>16</v>
      </c>
      <c r="E4" s="61" t="s">
        <v>3</v>
      </c>
      <c r="F4" s="61" t="s">
        <v>17</v>
      </c>
      <c r="G4" s="61" t="s">
        <v>14</v>
      </c>
      <c r="H4" s="61" t="s">
        <v>4</v>
      </c>
      <c r="I4" s="61" t="s">
        <v>132</v>
      </c>
      <c r="J4" s="61" t="s">
        <v>15</v>
      </c>
      <c r="K4" s="61" t="s">
        <v>13</v>
      </c>
      <c r="L4" s="63" t="s">
        <v>19</v>
      </c>
      <c r="M4" s="49" t="s">
        <v>0</v>
      </c>
      <c r="N4" s="1"/>
      <c r="O4" s="61" t="s">
        <v>64</v>
      </c>
      <c r="P4" s="61" t="s">
        <v>65</v>
      </c>
      <c r="Q4" s="61" t="s">
        <v>135</v>
      </c>
      <c r="R4" s="61" t="s">
        <v>136</v>
      </c>
      <c r="S4" s="61" t="s">
        <v>66</v>
      </c>
      <c r="T4" s="63" t="s">
        <v>67</v>
      </c>
    </row>
    <row r="5" spans="1:20" s="4" customFormat="1" x14ac:dyDescent="0.25">
      <c r="B5" s="132" t="s">
        <v>68</v>
      </c>
      <c r="C5" s="110">
        <v>741178.03300000005</v>
      </c>
      <c r="D5" s="110">
        <v>573625.1777</v>
      </c>
      <c r="E5" s="110">
        <v>761158.29799999995</v>
      </c>
      <c r="F5" s="110">
        <v>377490.58505000005</v>
      </c>
      <c r="G5" s="110">
        <v>567177.75003999996</v>
      </c>
      <c r="H5" s="110">
        <v>754656.36600000004</v>
      </c>
      <c r="I5" s="110">
        <v>178953.18767000001</v>
      </c>
      <c r="J5" s="110">
        <v>373700.42211000004</v>
      </c>
      <c r="K5" s="110">
        <v>563300.91514000006</v>
      </c>
      <c r="L5" s="112">
        <v>748100</v>
      </c>
      <c r="M5" s="45">
        <f t="shared" ref="M5:M9" si="0">+L5/H5-1</f>
        <v>-8.6878827177349072E-3</v>
      </c>
      <c r="N5" s="1"/>
      <c r="O5" s="110">
        <f>G5-F5</f>
        <v>189687.1649899999</v>
      </c>
      <c r="P5" s="110">
        <f>H5-G5</f>
        <v>187478.61596000008</v>
      </c>
      <c r="Q5" s="110">
        <f t="shared" ref="Q5:Q8" si="1">I5</f>
        <v>178953.18767000001</v>
      </c>
      <c r="R5" s="110">
        <f>J5-I5</f>
        <v>194747.23444000003</v>
      </c>
      <c r="S5" s="110">
        <f>K5-J5</f>
        <v>189600.49303000001</v>
      </c>
      <c r="T5" s="112">
        <f>L5-K5</f>
        <v>184799.08485999994</v>
      </c>
    </row>
    <row r="6" spans="1:20" s="4" customFormat="1" x14ac:dyDescent="0.25">
      <c r="B6" s="132" t="s">
        <v>69</v>
      </c>
      <c r="C6" s="110">
        <v>718521</v>
      </c>
      <c r="D6" s="111">
        <v>558247.43156999955</v>
      </c>
      <c r="E6" s="110">
        <v>748309</v>
      </c>
      <c r="F6" s="110">
        <v>374155</v>
      </c>
      <c r="G6" s="110">
        <v>562589.77768000006</v>
      </c>
      <c r="H6" s="110">
        <v>752605</v>
      </c>
      <c r="I6" s="110">
        <v>184279.4662</v>
      </c>
      <c r="J6" s="110">
        <v>370806</v>
      </c>
      <c r="K6" s="110">
        <v>559350.34435000038</v>
      </c>
      <c r="L6" s="112">
        <v>747292</v>
      </c>
      <c r="M6" s="45">
        <f t="shared" si="0"/>
        <v>-7.0594800725479745E-3</v>
      </c>
      <c r="N6" s="1"/>
      <c r="O6" s="110">
        <f>G6-F6</f>
        <v>188434.77768000006</v>
      </c>
      <c r="P6" s="110">
        <f t="shared" ref="P6:P9" si="2">H6-G6</f>
        <v>190015.22231999994</v>
      </c>
      <c r="Q6" s="110">
        <f t="shared" si="1"/>
        <v>184279.4662</v>
      </c>
      <c r="R6" s="110">
        <f t="shared" ref="R6:S9" si="3">J6-I6</f>
        <v>186526.5338</v>
      </c>
      <c r="S6" s="110">
        <f t="shared" si="3"/>
        <v>188544.34435000038</v>
      </c>
      <c r="T6" s="112">
        <f t="shared" ref="T6:T9" si="4">L6-K6</f>
        <v>187941.65564999962</v>
      </c>
    </row>
    <row r="7" spans="1:20" s="4" customFormat="1" x14ac:dyDescent="0.25">
      <c r="B7" s="130" t="s">
        <v>70</v>
      </c>
      <c r="C7" s="64">
        <v>-476725</v>
      </c>
      <c r="D7" s="64">
        <v>-389426.50000539894</v>
      </c>
      <c r="E7" s="64">
        <v>-519666.00000000006</v>
      </c>
      <c r="F7" s="64">
        <v>-245650</v>
      </c>
      <c r="G7" s="64">
        <v>-349852.0986038135</v>
      </c>
      <c r="H7" s="64">
        <v>-465382</v>
      </c>
      <c r="I7" s="64">
        <v>-120874.19658383822</v>
      </c>
      <c r="J7" s="64">
        <v>-244740</v>
      </c>
      <c r="K7" s="64">
        <v>-374662.88629253145</v>
      </c>
      <c r="L7" s="107">
        <v>-518866</v>
      </c>
      <c r="M7" s="46">
        <f t="shared" si="0"/>
        <v>0.11492494337984716</v>
      </c>
      <c r="N7" s="1"/>
      <c r="O7" s="64">
        <f>G7-F7</f>
        <v>-104202.0986038135</v>
      </c>
      <c r="P7" s="64">
        <f t="shared" si="2"/>
        <v>-115529.9013961865</v>
      </c>
      <c r="Q7" s="64">
        <f t="shared" si="1"/>
        <v>-120874.19658383822</v>
      </c>
      <c r="R7" s="64">
        <f t="shared" si="3"/>
        <v>-123865.80341616178</v>
      </c>
      <c r="S7" s="64">
        <f t="shared" si="3"/>
        <v>-129922.88629253145</v>
      </c>
      <c r="T7" s="107">
        <f t="shared" si="4"/>
        <v>-144203.11370746855</v>
      </c>
    </row>
    <row r="8" spans="1:20" s="4" customFormat="1" x14ac:dyDescent="0.25">
      <c r="B8" s="130" t="s">
        <v>71</v>
      </c>
      <c r="C8" s="64">
        <v>-154001</v>
      </c>
      <c r="D8" s="64">
        <v>-115432.9615953328</v>
      </c>
      <c r="E8" s="64">
        <v>-152748</v>
      </c>
      <c r="F8" s="64">
        <v>-79437</v>
      </c>
      <c r="G8" s="64">
        <v>-118909.1742417893</v>
      </c>
      <c r="H8" s="64">
        <v>-159468</v>
      </c>
      <c r="I8" s="64">
        <v>-36684.652442864986</v>
      </c>
      <c r="J8" s="64">
        <v>-75358</v>
      </c>
      <c r="K8" s="64">
        <v>-114751.67075482252</v>
      </c>
      <c r="L8" s="107">
        <v>-154310</v>
      </c>
      <c r="M8" s="46">
        <f t="shared" si="0"/>
        <v>-3.2345047282213324E-2</v>
      </c>
      <c r="N8" s="1"/>
      <c r="O8" s="64">
        <f>G8-F8</f>
        <v>-39472.174241789297</v>
      </c>
      <c r="P8" s="64">
        <f t="shared" si="2"/>
        <v>-40558.825758210703</v>
      </c>
      <c r="Q8" s="64">
        <f t="shared" si="1"/>
        <v>-36684.652442864986</v>
      </c>
      <c r="R8" s="64">
        <f t="shared" si="3"/>
        <v>-38673.347557135014</v>
      </c>
      <c r="S8" s="64">
        <f t="shared" si="3"/>
        <v>-39393.670754822524</v>
      </c>
      <c r="T8" s="107">
        <f t="shared" si="4"/>
        <v>-39558.329245177476</v>
      </c>
    </row>
    <row r="9" spans="1:20" s="4" customFormat="1" ht="15.75" thickBot="1" x14ac:dyDescent="0.3">
      <c r="B9" s="130" t="s">
        <v>72</v>
      </c>
      <c r="C9" s="64">
        <v>27179</v>
      </c>
      <c r="D9" s="64">
        <v>23881.10989</v>
      </c>
      <c r="E9" s="64">
        <v>30638</v>
      </c>
      <c r="F9" s="64">
        <v>9281</v>
      </c>
      <c r="G9" s="64">
        <v>14965.983510000002</v>
      </c>
      <c r="H9" s="64">
        <v>18726</v>
      </c>
      <c r="I9" s="64">
        <v>4392.7191699999994</v>
      </c>
      <c r="J9" s="64">
        <v>9882</v>
      </c>
      <c r="K9" s="64">
        <v>15696.075209999997</v>
      </c>
      <c r="L9" s="107">
        <v>22877</v>
      </c>
      <c r="M9" s="46">
        <f t="shared" si="0"/>
        <v>0.22167040478479128</v>
      </c>
      <c r="N9" s="1"/>
      <c r="O9" s="64">
        <f>G9-F9</f>
        <v>5684.9835100000018</v>
      </c>
      <c r="P9" s="64">
        <f t="shared" si="2"/>
        <v>3760.0164899999982</v>
      </c>
      <c r="Q9" s="64">
        <f>I9</f>
        <v>4392.7191699999994</v>
      </c>
      <c r="R9" s="64">
        <f t="shared" si="3"/>
        <v>5489.2808300000006</v>
      </c>
      <c r="S9" s="64">
        <f t="shared" si="3"/>
        <v>5814.0752099999972</v>
      </c>
      <c r="T9" s="107">
        <f t="shared" si="4"/>
        <v>7180.9247900000028</v>
      </c>
    </row>
    <row r="10" spans="1:20" s="4" customFormat="1" ht="15.75" thickBot="1" x14ac:dyDescent="0.3">
      <c r="B10" s="134" t="s">
        <v>73</v>
      </c>
      <c r="C10" s="108">
        <f>SUM(C6:C9)</f>
        <v>114974</v>
      </c>
      <c r="D10" s="108">
        <f>SUM(D6:D9)</f>
        <v>77269.079859267804</v>
      </c>
      <c r="E10" s="108">
        <f>SUM(E6:E9)</f>
        <v>106532.99999999994</v>
      </c>
      <c r="F10" s="108">
        <f>SUM(F6:F9)</f>
        <v>58349</v>
      </c>
      <c r="G10" s="108">
        <f>SUM(G6:G9)</f>
        <v>108794.48834439726</v>
      </c>
      <c r="H10" s="108">
        <f t="shared" ref="H10:I10" si="5">SUM(H6:H9)</f>
        <v>146481</v>
      </c>
      <c r="I10" s="108">
        <f t="shared" si="5"/>
        <v>31113.336343296793</v>
      </c>
      <c r="J10" s="108">
        <f>SUM(J6:J9)</f>
        <v>60590</v>
      </c>
      <c r="K10" s="108">
        <f>SUM(K6:K9)</f>
        <v>85631.862512646403</v>
      </c>
      <c r="L10" s="109">
        <f>SUM(L6:L9)</f>
        <v>96993</v>
      </c>
      <c r="M10" s="51">
        <f>+L10/H10-1</f>
        <v>-0.33784586396870586</v>
      </c>
      <c r="N10" s="1"/>
      <c r="O10" s="108">
        <f t="shared" ref="O10:T10" si="6">SUM(O6:O9)</f>
        <v>50445.488344397265</v>
      </c>
      <c r="P10" s="108">
        <f t="shared" si="6"/>
        <v>37686.511655602735</v>
      </c>
      <c r="Q10" s="108">
        <f t="shared" si="6"/>
        <v>31113.336343296793</v>
      </c>
      <c r="R10" s="108">
        <f>SUM(R6:R9)</f>
        <v>29476.663656703207</v>
      </c>
      <c r="S10" s="108">
        <f>SUM(S6:S9)</f>
        <v>25041.862512646403</v>
      </c>
      <c r="T10" s="109">
        <f t="shared" si="6"/>
        <v>11361.137487353595</v>
      </c>
    </row>
    <row r="11" spans="1:20" s="4" customFormat="1" ht="9" customHeight="1" x14ac:dyDescent="0.25">
      <c r="B11" s="132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N11" s="1"/>
    </row>
    <row r="12" spans="1:20" s="4" customFormat="1" x14ac:dyDescent="0.25">
      <c r="B12" s="137"/>
      <c r="C12" s="66"/>
      <c r="D12" s="66"/>
      <c r="E12" s="66"/>
      <c r="F12" s="66"/>
      <c r="G12" s="66"/>
      <c r="H12" s="66"/>
      <c r="I12" s="144"/>
      <c r="J12" s="66"/>
      <c r="K12" s="66"/>
      <c r="L12" s="66"/>
      <c r="M12" s="131" t="s">
        <v>63</v>
      </c>
      <c r="N12" s="1"/>
      <c r="T12" s="131" t="s">
        <v>63</v>
      </c>
    </row>
    <row r="13" spans="1:20" s="4" customFormat="1" x14ac:dyDescent="0.25">
      <c r="B13" s="137"/>
      <c r="C13" s="66"/>
      <c r="D13" s="66"/>
      <c r="E13" s="66"/>
      <c r="F13" s="66"/>
      <c r="G13" s="66"/>
      <c r="H13" s="66"/>
      <c r="I13" s="144"/>
      <c r="J13" s="66"/>
      <c r="K13" s="66"/>
      <c r="L13" s="66"/>
      <c r="M13" s="66"/>
      <c r="N13" s="1"/>
    </row>
    <row r="14" spans="1:20" s="4" customFormat="1" x14ac:dyDescent="0.25">
      <c r="B14" s="132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5"/>
      <c r="N14" s="1"/>
    </row>
    <row r="15" spans="1:20" s="4" customFormat="1" ht="15.75" thickBot="1" x14ac:dyDescent="0.3">
      <c r="B15" s="136"/>
      <c r="C15" s="61" t="s">
        <v>6</v>
      </c>
      <c r="D15" s="61" t="s">
        <v>16</v>
      </c>
      <c r="E15" s="61" t="s">
        <v>3</v>
      </c>
      <c r="F15" s="61" t="s">
        <v>17</v>
      </c>
      <c r="G15" s="61" t="s">
        <v>14</v>
      </c>
      <c r="H15" s="61" t="s">
        <v>4</v>
      </c>
      <c r="I15" s="61" t="s">
        <v>132</v>
      </c>
      <c r="J15" s="61" t="s">
        <v>15</v>
      </c>
      <c r="K15" s="62" t="s">
        <v>13</v>
      </c>
      <c r="L15" s="63" t="s">
        <v>19</v>
      </c>
      <c r="M15" s="50" t="s">
        <v>2</v>
      </c>
      <c r="N15" s="1"/>
      <c r="O15" s="61" t="s">
        <v>64</v>
      </c>
      <c r="P15" s="61" t="s">
        <v>65</v>
      </c>
      <c r="Q15" s="61" t="s">
        <v>135</v>
      </c>
      <c r="R15" s="61" t="s">
        <v>136</v>
      </c>
      <c r="S15" s="61" t="s">
        <v>66</v>
      </c>
      <c r="T15" s="63" t="s">
        <v>67</v>
      </c>
    </row>
    <row r="16" spans="1:20" s="4" customFormat="1" x14ac:dyDescent="0.25">
      <c r="B16" s="130" t="s">
        <v>82</v>
      </c>
      <c r="C16" s="65">
        <f>-C7/C6</f>
        <v>0.66348095601937873</v>
      </c>
      <c r="D16" s="65">
        <f t="shared" ref="D16" si="7">-D7/D6</f>
        <v>0.69758762509696937</v>
      </c>
      <c r="E16" s="65">
        <f>-E7/E6</f>
        <v>0.69445376174815487</v>
      </c>
      <c r="F16" s="65">
        <f>-F7/F6</f>
        <v>0.65654608384225788</v>
      </c>
      <c r="G16" s="65">
        <f>-G7/G6</f>
        <v>0.62186003458244254</v>
      </c>
      <c r="H16" s="65">
        <f t="shared" ref="H16:I16" si="8">-H7/H6</f>
        <v>0.61836155752353494</v>
      </c>
      <c r="I16" s="65">
        <f t="shared" si="8"/>
        <v>0.6559287319220497</v>
      </c>
      <c r="J16" s="65">
        <f>-J7/J6</f>
        <v>0.66002168249704696</v>
      </c>
      <c r="K16" s="67">
        <f>-K7/K6</f>
        <v>0.66981792373420779</v>
      </c>
      <c r="L16" s="68">
        <f>-L7/L6</f>
        <v>0.6943283214593492</v>
      </c>
      <c r="M16" s="47">
        <f>(L16-H16)*100</f>
        <v>7.5966763935814257</v>
      </c>
      <c r="N16" s="1"/>
      <c r="O16" s="65">
        <f t="shared" ref="O16" si="9">-O7/O6</f>
        <v>0.55298761665306551</v>
      </c>
      <c r="P16" s="65">
        <f t="shared" ref="P16:R16" si="10">-P7/P6</f>
        <v>0.60800340091503535</v>
      </c>
      <c r="Q16" s="65">
        <f t="shared" si="10"/>
        <v>0.6559287319220497</v>
      </c>
      <c r="R16" s="65">
        <f t="shared" si="10"/>
        <v>0.6640653256816258</v>
      </c>
      <c r="S16" s="65">
        <f>-S7/S6</f>
        <v>0.68908397512763253</v>
      </c>
      <c r="T16" s="68">
        <f t="shared" ref="T16" si="11">-T7/T6</f>
        <v>0.7672759570449641</v>
      </c>
    </row>
    <row r="17" spans="2:21" s="4" customFormat="1" ht="15.75" thickBot="1" x14ac:dyDescent="0.3">
      <c r="B17" s="130" t="s">
        <v>83</v>
      </c>
      <c r="C17" s="65">
        <f>-(C8+C9)/C6</f>
        <v>0.17650423578434032</v>
      </c>
      <c r="D17" s="65">
        <f t="shared" ref="D17" si="12">-(D8+D9)/D6</f>
        <v>0.16399869758084679</v>
      </c>
      <c r="E17" s="65">
        <f>-(E8+E9)/E6</f>
        <v>0.16318125266434053</v>
      </c>
      <c r="F17" s="65">
        <f>-(F8+F9)/F6</f>
        <v>0.18750517833518193</v>
      </c>
      <c r="G17" s="65">
        <f>-(G8+G9)/G6</f>
        <v>0.18475840631237345</v>
      </c>
      <c r="H17" s="65">
        <f t="shared" ref="H17:I17" si="13">-(H8+H9)/H6</f>
        <v>0.18700646421429568</v>
      </c>
      <c r="I17" s="65">
        <f t="shared" si="13"/>
        <v>0.17523348606739661</v>
      </c>
      <c r="J17" s="65">
        <f>-(J8+J9)/J6</f>
        <v>0.17657750953328694</v>
      </c>
      <c r="K17" s="67">
        <f>-(K8+K9)/K6</f>
        <v>0.17709043454676199</v>
      </c>
      <c r="L17" s="68">
        <f>-(L8+L9)/L6</f>
        <v>0.17587904058922083</v>
      </c>
      <c r="M17" s="47">
        <f t="shared" ref="M17:M18" si="14">(L17-H17)*100</f>
        <v>-1.112742362507485</v>
      </c>
      <c r="N17" s="1"/>
      <c r="O17" s="65">
        <f t="shared" ref="O17" si="15">-(O8+O9)/O6</f>
        <v>0.1793044317390641</v>
      </c>
      <c r="P17" s="65">
        <f t="shared" ref="P17:R17" si="16">-(P8+P9)/P6</f>
        <v>0.19366242777243786</v>
      </c>
      <c r="Q17" s="65">
        <f t="shared" si="16"/>
        <v>0.17523348606739661</v>
      </c>
      <c r="R17" s="65">
        <f t="shared" si="16"/>
        <v>0.17790534167496019</v>
      </c>
      <c r="S17" s="65">
        <f>-(S8+S9)/S6</f>
        <v>0.17809919284817022</v>
      </c>
      <c r="T17" s="68">
        <f t="shared" ref="T17" si="17">-(T8+T9)/T6</f>
        <v>0.1722737002778848</v>
      </c>
    </row>
    <row r="18" spans="2:21" s="4" customFormat="1" ht="15.75" thickBot="1" x14ac:dyDescent="0.3">
      <c r="B18" s="134" t="s">
        <v>84</v>
      </c>
      <c r="C18" s="69">
        <f>-(C7+C8+C9)/C6</f>
        <v>0.839985191803719</v>
      </c>
      <c r="D18" s="69">
        <f t="shared" ref="D18" si="18">-(D7+D8+D9)/D6</f>
        <v>0.8615863226778161</v>
      </c>
      <c r="E18" s="69">
        <f>-(E7+E8+E9)/E6</f>
        <v>0.85763501441249534</v>
      </c>
      <c r="F18" s="69">
        <f>-(F7+F8+F9)/F6</f>
        <v>0.84405126217743986</v>
      </c>
      <c r="G18" s="69">
        <f>-(G7+G8+G9)/G6</f>
        <v>0.80661844089481605</v>
      </c>
      <c r="H18" s="69">
        <f t="shared" ref="H18:I18" si="19">-(H7+H8+H9)/H6</f>
        <v>0.80536802173783062</v>
      </c>
      <c r="I18" s="69">
        <f t="shared" si="19"/>
        <v>0.83116221798944645</v>
      </c>
      <c r="J18" s="69">
        <f>-(J7+J8+J9)/J6</f>
        <v>0.83659919203033395</v>
      </c>
      <c r="K18" s="70">
        <f>-(K7+K8+K9)/K6</f>
        <v>0.84690835828096978</v>
      </c>
      <c r="L18" s="71">
        <f>-(L7+L8+L9)/L6</f>
        <v>0.87020736204857008</v>
      </c>
      <c r="M18" s="52">
        <f t="shared" si="14"/>
        <v>6.4839340310739457</v>
      </c>
      <c r="N18" s="1"/>
      <c r="O18" s="69">
        <f t="shared" ref="O18" si="20">-(O7+O8+O9)/O6</f>
        <v>0.73229204839212969</v>
      </c>
      <c r="P18" s="69">
        <f t="shared" ref="P18:R18" si="21">-(P7+P8+P9)/P6</f>
        <v>0.80166582868747316</v>
      </c>
      <c r="Q18" s="69">
        <f t="shared" si="21"/>
        <v>0.83116221798944645</v>
      </c>
      <c r="R18" s="69">
        <f t="shared" si="21"/>
        <v>0.84197066735658588</v>
      </c>
      <c r="S18" s="69">
        <f>-(S7+S8+S9)/S6</f>
        <v>0.86718316797580264</v>
      </c>
      <c r="T18" s="71">
        <f t="shared" ref="T18" si="22">-(T7+T8+T9)/T6</f>
        <v>0.93954965732284901</v>
      </c>
      <c r="U18" s="103"/>
    </row>
    <row r="19" spans="2:21" s="4" customFormat="1" x14ac:dyDescent="0.25">
      <c r="B19" s="3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64"/>
    </row>
    <row r="20" spans="2:21" s="4" customFormat="1" x14ac:dyDescent="0.25">
      <c r="M20" s="6"/>
      <c r="N20" s="66"/>
    </row>
  </sheetData>
  <hyperlinks>
    <hyperlink ref="A2" location="'Financial supplement&gt;&gt;&gt;'!A1" display="INDEX" xr:uid="{2CD9760B-0D7B-4425-94DB-6ED5B63BBC8A}"/>
  </hyperlinks>
  <pageMargins left="0.7" right="0.7" top="0.75" bottom="0.75" header="0.3" footer="0.3"/>
  <pageSetup paperSize="9" scale="71" orientation="landscape" r:id="rId1"/>
  <colBreaks count="1" manualBreakCount="1">
    <brk id="20" max="1048575" man="1"/>
  </colBreaks>
  <ignoredErrors>
    <ignoredError sqref="E10 H10 C10 L10 I10:K10" formulaRange="1"/>
    <ignoredError sqref="Q5:Q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U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4.2851562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3" width="11" style="5" customWidth="1"/>
    <col min="14" max="14" width="3" style="1" customWidth="1"/>
    <col min="15" max="16384" width="10.85546875" style="5"/>
  </cols>
  <sheetData>
    <row r="1" spans="1:21" ht="16.5" customHeight="1" x14ac:dyDescent="0.2"/>
    <row r="2" spans="1:21" ht="18.75" customHeight="1" thickBot="1" x14ac:dyDescent="0.25">
      <c r="A2" s="95" t="s">
        <v>20</v>
      </c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125" t="s">
        <v>34</v>
      </c>
      <c r="P2" s="23"/>
      <c r="Q2" s="23"/>
      <c r="R2" s="23"/>
      <c r="S2" s="23"/>
      <c r="T2" s="23"/>
    </row>
    <row r="4" spans="1:21" s="4" customFormat="1" ht="15.75" thickBot="1" x14ac:dyDescent="0.3">
      <c r="B4" s="37"/>
      <c r="C4" s="61" t="s">
        <v>6</v>
      </c>
      <c r="D4" s="61" t="s">
        <v>16</v>
      </c>
      <c r="E4" s="61" t="s">
        <v>3</v>
      </c>
      <c r="F4" s="61" t="s">
        <v>17</v>
      </c>
      <c r="G4" s="61" t="s">
        <v>14</v>
      </c>
      <c r="H4" s="61" t="s">
        <v>4</v>
      </c>
      <c r="I4" s="61" t="s">
        <v>132</v>
      </c>
      <c r="J4" s="61" t="s">
        <v>15</v>
      </c>
      <c r="K4" s="62" t="s">
        <v>13</v>
      </c>
      <c r="L4" s="63" t="s">
        <v>19</v>
      </c>
      <c r="M4" s="49" t="s">
        <v>0</v>
      </c>
      <c r="N4" s="1"/>
      <c r="O4" s="61" t="s">
        <v>64</v>
      </c>
      <c r="P4" s="61" t="s">
        <v>65</v>
      </c>
      <c r="Q4" s="61" t="s">
        <v>135</v>
      </c>
      <c r="R4" s="61" t="s">
        <v>136</v>
      </c>
      <c r="S4" s="61" t="s">
        <v>66</v>
      </c>
      <c r="T4" s="63" t="s">
        <v>67</v>
      </c>
    </row>
    <row r="5" spans="1:21" s="4" customFormat="1" x14ac:dyDescent="0.25">
      <c r="B5" s="132" t="s">
        <v>68</v>
      </c>
      <c r="C5" s="110">
        <v>100691.076</v>
      </c>
      <c r="D5" s="110">
        <v>82446.400180000026</v>
      </c>
      <c r="E5" s="110">
        <v>111356.549</v>
      </c>
      <c r="F5" s="110">
        <v>59705.956969999999</v>
      </c>
      <c r="G5" s="110">
        <v>89543.79578</v>
      </c>
      <c r="H5" s="110">
        <v>120653.628</v>
      </c>
      <c r="I5" s="110">
        <v>31763.592860000004</v>
      </c>
      <c r="J5" s="110">
        <v>64779.205790000007</v>
      </c>
      <c r="K5" s="111">
        <v>97044.810309999986</v>
      </c>
      <c r="L5" s="112">
        <v>131243</v>
      </c>
      <c r="M5" s="45">
        <f>+L5/H5-1</f>
        <v>8.7766710173025286E-2</v>
      </c>
      <c r="N5" s="1"/>
      <c r="O5" s="110">
        <f>G5-F5</f>
        <v>29837.838810000001</v>
      </c>
      <c r="P5" s="110">
        <f>H5-G5</f>
        <v>31109.832219999997</v>
      </c>
      <c r="Q5" s="110">
        <f>I5</f>
        <v>31763.592860000004</v>
      </c>
      <c r="R5" s="110">
        <f t="shared" ref="R5:R9" si="0">J5-I5</f>
        <v>33015.612930000003</v>
      </c>
      <c r="S5" s="111">
        <f>K5-J5</f>
        <v>32265.604519999979</v>
      </c>
      <c r="T5" s="112">
        <f t="shared" ref="T5:T9" si="1">L5-K5</f>
        <v>34198.189690000014</v>
      </c>
    </row>
    <row r="6" spans="1:21" s="4" customFormat="1" x14ac:dyDescent="0.25">
      <c r="B6" s="132" t="s">
        <v>69</v>
      </c>
      <c r="C6" s="110">
        <v>92406</v>
      </c>
      <c r="D6" s="110">
        <v>76020.518519999998</v>
      </c>
      <c r="E6" s="110">
        <v>102660</v>
      </c>
      <c r="F6" s="110">
        <v>54284</v>
      </c>
      <c r="G6" s="110">
        <v>82565.065399999949</v>
      </c>
      <c r="H6" s="110">
        <v>111546</v>
      </c>
      <c r="I6" s="110">
        <v>28726.393879999996</v>
      </c>
      <c r="J6" s="110">
        <v>58166</v>
      </c>
      <c r="K6" s="111">
        <v>88288.386050000001</v>
      </c>
      <c r="L6" s="112">
        <v>119067</v>
      </c>
      <c r="M6" s="45">
        <f t="shared" ref="M6:M10" si="2">+L6/H6-1</f>
        <v>6.7425098165779129E-2</v>
      </c>
      <c r="N6" s="1"/>
      <c r="O6" s="110">
        <f>G6-F6</f>
        <v>28281.065399999949</v>
      </c>
      <c r="P6" s="110">
        <f t="shared" ref="P6:P9" si="3">H6-G6</f>
        <v>28980.934600000051</v>
      </c>
      <c r="Q6" s="110">
        <f t="shared" ref="Q6:Q9" si="4">I6</f>
        <v>28726.393879999996</v>
      </c>
      <c r="R6" s="110">
        <f t="shared" si="0"/>
        <v>29439.606120000004</v>
      </c>
      <c r="S6" s="111">
        <f>K6-J6</f>
        <v>30122.386050000001</v>
      </c>
      <c r="T6" s="112">
        <f t="shared" si="1"/>
        <v>30778.613949999999</v>
      </c>
      <c r="U6" s="105"/>
    </row>
    <row r="7" spans="1:21" s="4" customFormat="1" x14ac:dyDescent="0.25">
      <c r="B7" s="130" t="s">
        <v>70</v>
      </c>
      <c r="C7" s="64">
        <v>-48215</v>
      </c>
      <c r="D7" s="64">
        <v>-39724.096594049995</v>
      </c>
      <c r="E7" s="64">
        <v>-53137</v>
      </c>
      <c r="F7" s="64">
        <v>-28390</v>
      </c>
      <c r="G7" s="64">
        <v>-45994.703035557985</v>
      </c>
      <c r="H7" s="64">
        <v>-63678</v>
      </c>
      <c r="I7" s="64">
        <v>-18299.014594275002</v>
      </c>
      <c r="J7" s="64">
        <v>-33435</v>
      </c>
      <c r="K7" s="113">
        <v>-49774.005104250042</v>
      </c>
      <c r="L7" s="107">
        <v>-66003</v>
      </c>
      <c r="M7" s="46">
        <f t="shared" si="2"/>
        <v>3.6511825120135732E-2</v>
      </c>
      <c r="N7" s="1"/>
      <c r="O7" s="64">
        <f>G7-F7</f>
        <v>-17604.703035557985</v>
      </c>
      <c r="P7" s="64">
        <f t="shared" si="3"/>
        <v>-17683.296964442015</v>
      </c>
      <c r="Q7" s="64">
        <f t="shared" si="4"/>
        <v>-18299.014594275002</v>
      </c>
      <c r="R7" s="64">
        <f t="shared" si="0"/>
        <v>-15135.985405724998</v>
      </c>
      <c r="S7" s="113">
        <f>K7-J7</f>
        <v>-16339.005104250042</v>
      </c>
      <c r="T7" s="107">
        <f t="shared" si="1"/>
        <v>-16228.994895749958</v>
      </c>
    </row>
    <row r="8" spans="1:21" s="4" customFormat="1" x14ac:dyDescent="0.25">
      <c r="B8" s="130" t="s">
        <v>71</v>
      </c>
      <c r="C8" s="64">
        <v>-35037</v>
      </c>
      <c r="D8" s="64">
        <v>-27774.558025313498</v>
      </c>
      <c r="E8" s="64">
        <v>-37209</v>
      </c>
      <c r="F8" s="64">
        <v>-19678</v>
      </c>
      <c r="G8" s="64">
        <v>-30927.286957193995</v>
      </c>
      <c r="H8" s="64">
        <v>-40873</v>
      </c>
      <c r="I8" s="64">
        <v>-9867.2738890072669</v>
      </c>
      <c r="J8" s="64">
        <v>-19550</v>
      </c>
      <c r="K8" s="113">
        <v>-29832.20227503881</v>
      </c>
      <c r="L8" s="107">
        <v>-39888</v>
      </c>
      <c r="M8" s="46">
        <f t="shared" si="2"/>
        <v>-2.4099038485063451E-2</v>
      </c>
      <c r="N8" s="1"/>
      <c r="O8" s="64">
        <f>G8-F8</f>
        <v>-11249.286957193995</v>
      </c>
      <c r="P8" s="64">
        <f t="shared" si="3"/>
        <v>-9945.7130428060045</v>
      </c>
      <c r="Q8" s="64">
        <f t="shared" si="4"/>
        <v>-9867.2738890072669</v>
      </c>
      <c r="R8" s="64">
        <f t="shared" si="0"/>
        <v>-9682.7261109927331</v>
      </c>
      <c r="S8" s="113">
        <f>K8-J8</f>
        <v>-10282.20227503881</v>
      </c>
      <c r="T8" s="107">
        <f t="shared" si="1"/>
        <v>-10055.79772496119</v>
      </c>
    </row>
    <row r="9" spans="1:21" s="4" customFormat="1" ht="15.75" thickBot="1" x14ac:dyDescent="0.3">
      <c r="B9" s="130" t="s">
        <v>72</v>
      </c>
      <c r="C9" s="64">
        <v>-460</v>
      </c>
      <c r="D9" s="64">
        <v>102.78219999999999</v>
      </c>
      <c r="E9" s="64">
        <v>33</v>
      </c>
      <c r="F9" s="64">
        <v>-120</v>
      </c>
      <c r="G9" s="64">
        <v>-215.857</v>
      </c>
      <c r="H9" s="64">
        <v>-311</v>
      </c>
      <c r="I9" s="64">
        <v>-60.167480000000005</v>
      </c>
      <c r="J9" s="64">
        <v>-91</v>
      </c>
      <c r="K9" s="113">
        <v>-91.850300000000004</v>
      </c>
      <c r="L9" s="107">
        <v>-5</v>
      </c>
      <c r="M9" s="46">
        <f t="shared" si="2"/>
        <v>-0.98392282958199362</v>
      </c>
      <c r="N9" s="1"/>
      <c r="O9" s="64">
        <f>G9-F9</f>
        <v>-95.856999999999999</v>
      </c>
      <c r="P9" s="64">
        <f t="shared" si="3"/>
        <v>-95.143000000000001</v>
      </c>
      <c r="Q9" s="64">
        <f t="shared" si="4"/>
        <v>-60.167480000000005</v>
      </c>
      <c r="R9" s="64">
        <f t="shared" si="0"/>
        <v>-30.832519999999995</v>
      </c>
      <c r="S9" s="113">
        <f>K9-J9</f>
        <v>-0.85030000000000427</v>
      </c>
      <c r="T9" s="107">
        <f t="shared" si="1"/>
        <v>86.850300000000004</v>
      </c>
    </row>
    <row r="10" spans="1:21" s="4" customFormat="1" ht="15.75" thickBot="1" x14ac:dyDescent="0.3">
      <c r="B10" s="134" t="s">
        <v>73</v>
      </c>
      <c r="C10" s="108">
        <f>SUM(C6:C9)</f>
        <v>8694</v>
      </c>
      <c r="D10" s="108">
        <f>SUM(D6:D9)</f>
        <v>8624.6461006365043</v>
      </c>
      <c r="E10" s="108">
        <f>SUM(E6:E9)</f>
        <v>12347</v>
      </c>
      <c r="F10" s="108">
        <f t="shared" ref="F10:G10" si="5">SUM(F6:F9)</f>
        <v>6096</v>
      </c>
      <c r="G10" s="108">
        <f t="shared" si="5"/>
        <v>5427.2184072479686</v>
      </c>
      <c r="H10" s="108">
        <f>SUM(H6:H9)</f>
        <v>6684</v>
      </c>
      <c r="I10" s="108">
        <f>SUM(I6:I9)</f>
        <v>499.93791671772675</v>
      </c>
      <c r="J10" s="108">
        <f>SUM(J6:J9)</f>
        <v>5090</v>
      </c>
      <c r="K10" s="114">
        <f>SUM(K6:K9)</f>
        <v>8590.3283707111495</v>
      </c>
      <c r="L10" s="109">
        <f>SUM(L6:L9)</f>
        <v>13171</v>
      </c>
      <c r="M10" s="51">
        <f t="shared" si="2"/>
        <v>0.97052663076002399</v>
      </c>
      <c r="N10" s="1"/>
      <c r="O10" s="108">
        <f t="shared" ref="O10:T10" si="6">SUM(O6:O9)</f>
        <v>-668.78159275203143</v>
      </c>
      <c r="P10" s="108">
        <f t="shared" si="6"/>
        <v>1256.7815927520314</v>
      </c>
      <c r="Q10" s="108">
        <f t="shared" si="6"/>
        <v>499.93791671772675</v>
      </c>
      <c r="R10" s="108">
        <f t="shared" si="6"/>
        <v>4590.0620832822733</v>
      </c>
      <c r="S10" s="114">
        <f>SUM(S6:S9)</f>
        <v>3500.3283707111495</v>
      </c>
      <c r="T10" s="109">
        <f t="shared" si="6"/>
        <v>4580.6716292888505</v>
      </c>
    </row>
    <row r="11" spans="1:21" s="4" customFormat="1" ht="9" customHeight="1" x14ac:dyDescent="0.25">
      <c r="B11" s="132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N11" s="1"/>
      <c r="O11" s="64"/>
      <c r="P11" s="64"/>
      <c r="Q11" s="64"/>
      <c r="R11" s="64"/>
      <c r="S11" s="64"/>
    </row>
    <row r="12" spans="1:21" s="4" customFormat="1" x14ac:dyDescent="0.25">
      <c r="B12" s="137"/>
      <c r="C12" s="66"/>
      <c r="D12" s="66"/>
      <c r="E12" s="66"/>
      <c r="F12" s="66"/>
      <c r="G12" s="66"/>
      <c r="H12" s="66"/>
      <c r="I12" s="144"/>
      <c r="J12" s="66"/>
      <c r="K12" s="66"/>
      <c r="L12" s="66"/>
      <c r="M12" s="131" t="s">
        <v>63</v>
      </c>
      <c r="N12" s="1"/>
      <c r="O12" s="66"/>
      <c r="P12" s="66"/>
      <c r="Q12" s="144"/>
      <c r="R12" s="144"/>
      <c r="S12" s="66"/>
      <c r="T12" s="131" t="s">
        <v>63</v>
      </c>
    </row>
    <row r="13" spans="1:21" s="4" customFormat="1" x14ac:dyDescent="0.25">
      <c r="B13" s="137"/>
      <c r="C13" s="66"/>
      <c r="D13" s="66"/>
      <c r="E13" s="66"/>
      <c r="F13" s="66"/>
      <c r="G13" s="66"/>
      <c r="H13" s="66"/>
      <c r="I13" s="144"/>
      <c r="J13" s="66"/>
      <c r="K13" s="66"/>
      <c r="L13" s="66"/>
      <c r="M13" s="66"/>
      <c r="N13" s="1"/>
      <c r="O13" s="66"/>
      <c r="P13" s="66"/>
      <c r="Q13" s="144"/>
      <c r="R13" s="144"/>
      <c r="S13" s="66"/>
    </row>
    <row r="14" spans="1:21" s="4" customFormat="1" x14ac:dyDescent="0.25">
      <c r="B14" s="132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5"/>
      <c r="N14" s="1"/>
      <c r="O14" s="64"/>
      <c r="P14" s="64"/>
      <c r="Q14" s="64"/>
      <c r="R14" s="64"/>
      <c r="S14" s="64"/>
    </row>
    <row r="15" spans="1:21" s="4" customFormat="1" ht="15.75" thickBot="1" x14ac:dyDescent="0.3">
      <c r="B15" s="136"/>
      <c r="C15" s="61" t="s">
        <v>6</v>
      </c>
      <c r="D15" s="61" t="s">
        <v>16</v>
      </c>
      <c r="E15" s="61" t="s">
        <v>3</v>
      </c>
      <c r="F15" s="61" t="s">
        <v>17</v>
      </c>
      <c r="G15" s="61" t="s">
        <v>14</v>
      </c>
      <c r="H15" s="61" t="s">
        <v>4</v>
      </c>
      <c r="I15" s="61" t="s">
        <v>132</v>
      </c>
      <c r="J15" s="61" t="s">
        <v>15</v>
      </c>
      <c r="K15" s="62" t="s">
        <v>13</v>
      </c>
      <c r="L15" s="63" t="s">
        <v>19</v>
      </c>
      <c r="M15" s="50" t="s">
        <v>2</v>
      </c>
      <c r="N15" s="1"/>
      <c r="O15" s="61" t="s">
        <v>64</v>
      </c>
      <c r="P15" s="61" t="s">
        <v>65</v>
      </c>
      <c r="Q15" s="61" t="s">
        <v>135</v>
      </c>
      <c r="R15" s="61" t="s">
        <v>136</v>
      </c>
      <c r="S15" s="61" t="s">
        <v>66</v>
      </c>
      <c r="T15" s="63" t="s">
        <v>67</v>
      </c>
    </row>
    <row r="16" spans="1:21" s="4" customFormat="1" x14ac:dyDescent="0.25">
      <c r="B16" s="130" t="s">
        <v>82</v>
      </c>
      <c r="C16" s="65">
        <f>-C7/C6</f>
        <v>0.52177347791268969</v>
      </c>
      <c r="D16" s="65">
        <f t="shared" ref="D16" si="7">-D7/D6</f>
        <v>0.52254440468725705</v>
      </c>
      <c r="E16" s="65">
        <f>-E7/E6</f>
        <v>0.51760179232417691</v>
      </c>
      <c r="F16" s="65">
        <f t="shared" ref="F16:G16" si="8">-F7/F6</f>
        <v>0.52299019969051652</v>
      </c>
      <c r="G16" s="65">
        <f t="shared" si="8"/>
        <v>0.55707220496621823</v>
      </c>
      <c r="H16" s="65">
        <f>-H7/H6</f>
        <v>0.57086762411919745</v>
      </c>
      <c r="I16" s="65">
        <f>-I7/I6</f>
        <v>0.63701050228289235</v>
      </c>
      <c r="J16" s="65">
        <f>-J7/J6</f>
        <v>0.57482034178042152</v>
      </c>
      <c r="K16" s="67">
        <f>-K7/K6</f>
        <v>0.56376616824846848</v>
      </c>
      <c r="L16" s="68">
        <f>-L7/L6</f>
        <v>0.5543349542694449</v>
      </c>
      <c r="M16" s="47">
        <f>(L16-H16)*100</f>
        <v>-1.6532669849752546</v>
      </c>
      <c r="N16" s="1"/>
      <c r="O16" s="65">
        <f t="shared" ref="O16" si="9">-O7/O6</f>
        <v>0.62249080034863247</v>
      </c>
      <c r="P16" s="65">
        <f>-P7/P6</f>
        <v>0.61017000343536143</v>
      </c>
      <c r="Q16" s="65">
        <f t="shared" ref="Q16:R16" si="10">-Q7/Q6</f>
        <v>0.63701050228289235</v>
      </c>
      <c r="R16" s="65">
        <f t="shared" si="10"/>
        <v>0.5141368177287623</v>
      </c>
      <c r="S16" s="67">
        <f>-S7/S6</f>
        <v>0.5424206793289551</v>
      </c>
      <c r="T16" s="68">
        <f>-T7/T6</f>
        <v>0.527281537827338</v>
      </c>
    </row>
    <row r="17" spans="2:20" s="4" customFormat="1" ht="15.75" thickBot="1" x14ac:dyDescent="0.3">
      <c r="B17" s="130" t="s">
        <v>83</v>
      </c>
      <c r="C17" s="65">
        <f>-(C8+C9)/C6</f>
        <v>0.38414172239897842</v>
      </c>
      <c r="D17" s="65">
        <f t="shared" ref="D17" si="11">-(D8+D9)/D6</f>
        <v>0.36400403948880483</v>
      </c>
      <c r="E17" s="65">
        <f>-(E8+E9)/E6</f>
        <v>0.36212741087083578</v>
      </c>
      <c r="F17" s="65">
        <f t="shared" ref="F17:G17" si="12">-(F8+F9)/F6</f>
        <v>0.36471151720580652</v>
      </c>
      <c r="G17" s="65">
        <f t="shared" si="12"/>
        <v>0.37719517093962135</v>
      </c>
      <c r="H17" s="65">
        <f>-(H8+H9)/H6</f>
        <v>0.36921090850411492</v>
      </c>
      <c r="I17" s="65">
        <f>-(I8+I9)/I6</f>
        <v>0.34558606313335383</v>
      </c>
      <c r="J17" s="65">
        <f>-(J8+J9)/J6</f>
        <v>0.33767149193687035</v>
      </c>
      <c r="K17" s="67">
        <f>-(K8+K9)/K6</f>
        <v>0.33893532223017464</v>
      </c>
      <c r="L17" s="68">
        <f>-(L8+L9)/L6</f>
        <v>0.33504665440466291</v>
      </c>
      <c r="M17" s="47">
        <f t="shared" ref="M17:M18" si="13">(L17-H17)*100</f>
        <v>-3.4164254099452007</v>
      </c>
      <c r="N17" s="1"/>
      <c r="O17" s="65">
        <f t="shared" ref="O17" si="14">-(O8+O9)/O6</f>
        <v>0.40115687993826482</v>
      </c>
      <c r="P17" s="65">
        <f>-(P8+P9)/P6</f>
        <v>0.34646419038556425</v>
      </c>
      <c r="Q17" s="65">
        <f t="shared" ref="Q17:R17" si="15">-(Q8+Q9)/Q6</f>
        <v>0.34558606313335383</v>
      </c>
      <c r="R17" s="65">
        <f t="shared" si="15"/>
        <v>0.32994866138490075</v>
      </c>
      <c r="S17" s="67">
        <f>-(S8+S9)/S6</f>
        <v>0.34137576478735854</v>
      </c>
      <c r="T17" s="68">
        <f>-(T8+T9)/T6</f>
        <v>0.32389201934680334</v>
      </c>
    </row>
    <row r="18" spans="2:20" s="4" customFormat="1" ht="15.75" thickBot="1" x14ac:dyDescent="0.3">
      <c r="B18" s="134" t="s">
        <v>84</v>
      </c>
      <c r="C18" s="69">
        <f>-(C7+C8+C9)/C6</f>
        <v>0.90591520031166806</v>
      </c>
      <c r="D18" s="69">
        <f t="shared" ref="D18" si="16">-(D7+D8+D9)/D6</f>
        <v>0.88654844417606171</v>
      </c>
      <c r="E18" s="69">
        <f>-(E7+E8+E9)/E6</f>
        <v>0.87972920319501269</v>
      </c>
      <c r="F18" s="69">
        <f t="shared" ref="F18:G18" si="17">-(F7+F8+F9)/F6</f>
        <v>0.88770171689632305</v>
      </c>
      <c r="G18" s="69">
        <f t="shared" si="17"/>
        <v>0.93426737590583953</v>
      </c>
      <c r="H18" s="69">
        <f>-(H7+H8+H9)/H6</f>
        <v>0.94007853262331231</v>
      </c>
      <c r="I18" s="69">
        <f>-(I7+I8+I9)/I6</f>
        <v>0.98259656541624607</v>
      </c>
      <c r="J18" s="69">
        <f>-(J7+J8+J9)/J6</f>
        <v>0.91249183371729192</v>
      </c>
      <c r="K18" s="70">
        <f>-(K7+K8+K9)/K6</f>
        <v>0.90270149047864334</v>
      </c>
      <c r="L18" s="71">
        <f>-(L7+L8+L9)/L6</f>
        <v>0.88938160867410787</v>
      </c>
      <c r="M18" s="52">
        <f t="shared" si="13"/>
        <v>-5.0696923949204447</v>
      </c>
      <c r="N18" s="1"/>
      <c r="O18" s="69">
        <f t="shared" ref="O18" si="18">-(O7+O8+O9)/O6</f>
        <v>1.0236476802868972</v>
      </c>
      <c r="P18" s="69">
        <f>-(P7+P8+P9)/P6</f>
        <v>0.95663419382092563</v>
      </c>
      <c r="Q18" s="69">
        <f t="shared" ref="Q18:R18" si="19">-(Q7+Q8+Q9)/Q6</f>
        <v>0.98259656541624607</v>
      </c>
      <c r="R18" s="69">
        <f t="shared" si="19"/>
        <v>0.84408547911366316</v>
      </c>
      <c r="S18" s="70">
        <f>-(S7+S8+S9)/S6</f>
        <v>0.88379644411631353</v>
      </c>
      <c r="T18" s="71">
        <f>-(T7+T8+T9)/T6</f>
        <v>0.85117355717414145</v>
      </c>
    </row>
    <row r="19" spans="2:20" s="4" customFormat="1" x14ac:dyDescent="0.25">
      <c r="B19" s="3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64"/>
    </row>
    <row r="20" spans="2:20" s="4" customFormat="1" x14ac:dyDescent="0.25">
      <c r="M20" s="6"/>
      <c r="N20" s="66"/>
    </row>
  </sheetData>
  <hyperlinks>
    <hyperlink ref="A2" location="'Financial supplement&gt;&gt;&gt;'!A1" display="INDEX" xr:uid="{D051B6C3-B97C-4B07-B158-6002169D37AF}"/>
  </hyperlinks>
  <pageMargins left="0.7" right="0.7" top="0.75" bottom="0.75" header="0.3" footer="0.3"/>
  <pageSetup paperSize="9" scale="71" orientation="landscape" r:id="rId1"/>
  <ignoredErrors>
    <ignoredError sqref="K10:L10 C10:H10 I10:J10" formulaRange="1"/>
    <ignoredError sqref="Q5:Q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T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3.570312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3" width="11" style="5" customWidth="1"/>
    <col min="14" max="14" width="3" style="1" customWidth="1"/>
    <col min="15" max="16384" width="10.85546875" style="5"/>
  </cols>
  <sheetData>
    <row r="1" spans="1:20" ht="16.5" customHeight="1" x14ac:dyDescent="0.2"/>
    <row r="2" spans="1:20" ht="18.75" customHeight="1" thickBot="1" x14ac:dyDescent="0.25">
      <c r="A2" s="95" t="s">
        <v>20</v>
      </c>
      <c r="B2" s="23" t="s">
        <v>32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125" t="s">
        <v>34</v>
      </c>
      <c r="P2" s="23"/>
      <c r="Q2" s="23"/>
      <c r="R2" s="23"/>
      <c r="S2" s="23"/>
      <c r="T2" s="23"/>
    </row>
    <row r="4" spans="1:20" s="4" customFormat="1" ht="15.75" thickBot="1" x14ac:dyDescent="0.3">
      <c r="B4" s="37"/>
      <c r="C4" s="61" t="s">
        <v>6</v>
      </c>
      <c r="D4" s="61" t="s">
        <v>16</v>
      </c>
      <c r="E4" s="61" t="s">
        <v>3</v>
      </c>
      <c r="F4" s="61" t="s">
        <v>17</v>
      </c>
      <c r="G4" s="61" t="s">
        <v>14</v>
      </c>
      <c r="H4" s="61" t="s">
        <v>4</v>
      </c>
      <c r="I4" s="61" t="s">
        <v>132</v>
      </c>
      <c r="J4" s="61" t="s">
        <v>15</v>
      </c>
      <c r="K4" s="62" t="s">
        <v>13</v>
      </c>
      <c r="L4" s="63" t="s">
        <v>19</v>
      </c>
      <c r="M4" s="49" t="s">
        <v>0</v>
      </c>
      <c r="N4" s="1"/>
      <c r="O4" s="61" t="s">
        <v>64</v>
      </c>
      <c r="P4" s="61" t="s">
        <v>65</v>
      </c>
      <c r="Q4" s="61" t="s">
        <v>135</v>
      </c>
      <c r="R4" s="61" t="s">
        <v>136</v>
      </c>
      <c r="S4" s="61" t="s">
        <v>66</v>
      </c>
      <c r="T4" s="63" t="s">
        <v>67</v>
      </c>
    </row>
    <row r="5" spans="1:20" s="4" customFormat="1" x14ac:dyDescent="0.25">
      <c r="B5" s="132" t="s">
        <v>68</v>
      </c>
      <c r="C5" s="110">
        <v>7518</v>
      </c>
      <c r="D5" s="110">
        <v>12243.391560000002</v>
      </c>
      <c r="E5" s="110">
        <v>15744</v>
      </c>
      <c r="F5" s="110">
        <v>13257.647209999999</v>
      </c>
      <c r="G5" s="110">
        <v>16876.646899999996</v>
      </c>
      <c r="H5" s="110">
        <v>21826</v>
      </c>
      <c r="I5" s="110">
        <v>12002.315489999999</v>
      </c>
      <c r="J5" s="110">
        <v>16622.485779999999</v>
      </c>
      <c r="K5" s="111">
        <v>20912.694649999998</v>
      </c>
      <c r="L5" s="112">
        <v>26449</v>
      </c>
      <c r="M5" s="45">
        <f t="shared" ref="M5:M9" si="0">+L5/H5-1</f>
        <v>0.2118116008430313</v>
      </c>
      <c r="N5" s="1"/>
      <c r="O5" s="110">
        <f>G5-F5</f>
        <v>3618.9996899999969</v>
      </c>
      <c r="P5" s="110">
        <f>H5-G5</f>
        <v>4949.3531000000039</v>
      </c>
      <c r="Q5" s="110">
        <f>I5</f>
        <v>12002.315489999999</v>
      </c>
      <c r="R5" s="110">
        <f t="shared" ref="R5:S9" si="1">J5-I5</f>
        <v>4620.17029</v>
      </c>
      <c r="S5" s="111">
        <f t="shared" si="1"/>
        <v>4290.2088699999986</v>
      </c>
      <c r="T5" s="112">
        <f t="shared" ref="T5:T9" si="2">L5-K5</f>
        <v>5536.3053500000024</v>
      </c>
    </row>
    <row r="6" spans="1:20" s="4" customFormat="1" x14ac:dyDescent="0.25">
      <c r="B6" s="132" t="s">
        <v>69</v>
      </c>
      <c r="C6" s="110">
        <v>2147</v>
      </c>
      <c r="D6" s="110">
        <v>4759.8379600000044</v>
      </c>
      <c r="E6" s="110">
        <v>748</v>
      </c>
      <c r="F6" s="110">
        <v>4885</v>
      </c>
      <c r="G6" s="110">
        <v>7577.615569999989</v>
      </c>
      <c r="H6" s="110">
        <v>12020</v>
      </c>
      <c r="I6" s="110">
        <v>3055.2638099999931</v>
      </c>
      <c r="J6" s="110">
        <v>6342</v>
      </c>
      <c r="K6" s="111">
        <v>9860.6312800000014</v>
      </c>
      <c r="L6" s="112">
        <v>14981</v>
      </c>
      <c r="M6" s="45">
        <f t="shared" si="0"/>
        <v>0.24633943427620641</v>
      </c>
      <c r="N6" s="1"/>
      <c r="O6" s="110">
        <f>G6-F6</f>
        <v>2692.615569999989</v>
      </c>
      <c r="P6" s="110">
        <f t="shared" ref="P6:P9" si="3">H6-G6</f>
        <v>4442.384430000011</v>
      </c>
      <c r="Q6" s="110">
        <f t="shared" ref="Q6:Q9" si="4">I6</f>
        <v>3055.2638099999931</v>
      </c>
      <c r="R6" s="110">
        <f t="shared" si="1"/>
        <v>3286.7361900000069</v>
      </c>
      <c r="S6" s="111">
        <f t="shared" si="1"/>
        <v>3518.6312800000014</v>
      </c>
      <c r="T6" s="112">
        <f t="shared" si="2"/>
        <v>5120.3687199999986</v>
      </c>
    </row>
    <row r="7" spans="1:20" s="4" customFormat="1" x14ac:dyDescent="0.25">
      <c r="B7" s="130" t="s">
        <v>70</v>
      </c>
      <c r="C7" s="64">
        <v>-2866</v>
      </c>
      <c r="D7" s="64">
        <v>-5492.4931738313571</v>
      </c>
      <c r="E7" s="64">
        <v>-7856</v>
      </c>
      <c r="F7" s="64">
        <v>-5258</v>
      </c>
      <c r="G7" s="64">
        <v>-7858.8337416389977</v>
      </c>
      <c r="H7" s="64">
        <v>-10712</v>
      </c>
      <c r="I7" s="64">
        <v>-3152.559174050999</v>
      </c>
      <c r="J7" s="64">
        <v>-6678</v>
      </c>
      <c r="K7" s="113">
        <v>-9731.433319279995</v>
      </c>
      <c r="L7" s="107">
        <v>-12951</v>
      </c>
      <c r="M7" s="46">
        <f t="shared" si="0"/>
        <v>0.20901792382374906</v>
      </c>
      <c r="N7" s="1"/>
      <c r="O7" s="64">
        <f>G7-F7</f>
        <v>-2600.8337416389977</v>
      </c>
      <c r="P7" s="64">
        <f t="shared" si="3"/>
        <v>-2853.1662583610023</v>
      </c>
      <c r="Q7" s="64">
        <f t="shared" si="4"/>
        <v>-3152.559174050999</v>
      </c>
      <c r="R7" s="64">
        <f t="shared" si="1"/>
        <v>-3525.440825949001</v>
      </c>
      <c r="S7" s="113">
        <f t="shared" si="1"/>
        <v>-3053.433319279995</v>
      </c>
      <c r="T7" s="107">
        <f t="shared" si="2"/>
        <v>-3219.566680720005</v>
      </c>
    </row>
    <row r="8" spans="1:20" s="4" customFormat="1" x14ac:dyDescent="0.25">
      <c r="B8" s="130" t="s">
        <v>71</v>
      </c>
      <c r="C8" s="64">
        <v>-6083</v>
      </c>
      <c r="D8" s="64">
        <v>-5317.2468838576415</v>
      </c>
      <c r="E8" s="64">
        <v>-9085</v>
      </c>
      <c r="F8" s="64">
        <v>-2166</v>
      </c>
      <c r="G8" s="64">
        <v>-4556.8115809177998</v>
      </c>
      <c r="H8" s="64">
        <v>-8920</v>
      </c>
      <c r="I8" s="64">
        <v>-3.8501281415075064</v>
      </c>
      <c r="J8" s="64">
        <v>-2567</v>
      </c>
      <c r="K8" s="113">
        <v>-5210.2223628648017</v>
      </c>
      <c r="L8" s="107">
        <v>-9147</v>
      </c>
      <c r="M8" s="46">
        <f t="shared" si="0"/>
        <v>2.5448430493273611E-2</v>
      </c>
      <c r="N8" s="1"/>
      <c r="O8" s="64">
        <f>G8-F8</f>
        <v>-2390.8115809177998</v>
      </c>
      <c r="P8" s="64">
        <f t="shared" si="3"/>
        <v>-4363.1884190822002</v>
      </c>
      <c r="Q8" s="64">
        <f t="shared" si="4"/>
        <v>-3.8501281415075064</v>
      </c>
      <c r="R8" s="64">
        <f t="shared" si="1"/>
        <v>-2563.1498718584926</v>
      </c>
      <c r="S8" s="113">
        <f t="shared" si="1"/>
        <v>-2643.2223628648017</v>
      </c>
      <c r="T8" s="107">
        <f t="shared" si="2"/>
        <v>-3936.7776371351983</v>
      </c>
    </row>
    <row r="9" spans="1:20" s="4" customFormat="1" ht="15.75" thickBot="1" x14ac:dyDescent="0.3">
      <c r="B9" s="130" t="s">
        <v>72</v>
      </c>
      <c r="C9" s="64">
        <v>-240</v>
      </c>
      <c r="D9" s="64">
        <v>-180</v>
      </c>
      <c r="E9" s="64">
        <v>-153</v>
      </c>
      <c r="F9" s="64">
        <v>-121</v>
      </c>
      <c r="G9" s="64">
        <v>-199.06700000000001</v>
      </c>
      <c r="H9" s="64">
        <v>-278</v>
      </c>
      <c r="I9" s="64">
        <v>-60.355620000000002</v>
      </c>
      <c r="J9" s="64">
        <v>-103</v>
      </c>
      <c r="K9" s="113">
        <v>-128.2534</v>
      </c>
      <c r="L9" s="107">
        <v>-93</v>
      </c>
      <c r="M9" s="46">
        <f t="shared" si="0"/>
        <v>-0.66546762589928066</v>
      </c>
      <c r="N9" s="1"/>
      <c r="O9" s="64">
        <f>G9-F9</f>
        <v>-78.067000000000007</v>
      </c>
      <c r="P9" s="64">
        <f t="shared" si="3"/>
        <v>-78.932999999999993</v>
      </c>
      <c r="Q9" s="64">
        <f t="shared" si="4"/>
        <v>-60.355620000000002</v>
      </c>
      <c r="R9" s="64">
        <f t="shared" si="1"/>
        <v>-42.644379999999998</v>
      </c>
      <c r="S9" s="113">
        <f t="shared" si="1"/>
        <v>-25.253399999999999</v>
      </c>
      <c r="T9" s="107">
        <f t="shared" si="2"/>
        <v>35.253399999999999</v>
      </c>
    </row>
    <row r="10" spans="1:20" s="4" customFormat="1" ht="15.75" thickBot="1" x14ac:dyDescent="0.3">
      <c r="B10" s="134" t="s">
        <v>73</v>
      </c>
      <c r="C10" s="108">
        <f>SUM(C6:C9)</f>
        <v>-7042</v>
      </c>
      <c r="D10" s="108">
        <f>SUM(D6:D9)</f>
        <v>-6229.9020976889942</v>
      </c>
      <c r="E10" s="108">
        <f>SUM(E6:E9)</f>
        <v>-16346</v>
      </c>
      <c r="F10" s="108">
        <f t="shared" ref="F10:G10" si="5">SUM(F6:F9)</f>
        <v>-2660</v>
      </c>
      <c r="G10" s="108">
        <f t="shared" si="5"/>
        <v>-5037.0967525568085</v>
      </c>
      <c r="H10" s="108">
        <f>SUM(H6:H9)</f>
        <v>-7890</v>
      </c>
      <c r="I10" s="108">
        <f>SUM(I6:I9)</f>
        <v>-161.5011121925134</v>
      </c>
      <c r="J10" s="108">
        <f>SUM(J6:J9)</f>
        <v>-3006</v>
      </c>
      <c r="K10" s="114">
        <f>SUM(K6:K9)</f>
        <v>-5209.2778021447948</v>
      </c>
      <c r="L10" s="109">
        <f>SUM(L6:L9)</f>
        <v>-7210</v>
      </c>
      <c r="M10" s="51">
        <f>+L10/H10-1</f>
        <v>-8.6185044359949337E-2</v>
      </c>
      <c r="N10" s="1"/>
      <c r="O10" s="108">
        <f t="shared" ref="O10:T10" si="6">SUM(O6:O9)</f>
        <v>-2377.0967525568085</v>
      </c>
      <c r="P10" s="108">
        <f t="shared" si="6"/>
        <v>-2852.9032474431915</v>
      </c>
      <c r="Q10" s="108">
        <f t="shared" si="6"/>
        <v>-161.5011121925134</v>
      </c>
      <c r="R10" s="108">
        <f t="shared" si="6"/>
        <v>-2844.4988878074869</v>
      </c>
      <c r="S10" s="114">
        <f>SUM(S6:S9)</f>
        <v>-2203.2778021447953</v>
      </c>
      <c r="T10" s="109">
        <f t="shared" si="6"/>
        <v>-2000.7221978552047</v>
      </c>
    </row>
    <row r="11" spans="1:20" s="4" customFormat="1" ht="9" customHeight="1" x14ac:dyDescent="0.25">
      <c r="B11" s="132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1"/>
      <c r="O11" s="41"/>
      <c r="P11" s="41"/>
      <c r="Q11" s="41"/>
      <c r="R11" s="41"/>
      <c r="S11" s="41"/>
    </row>
    <row r="12" spans="1:20" s="4" customFormat="1" x14ac:dyDescent="0.25">
      <c r="B12" s="137"/>
      <c r="C12" s="33"/>
      <c r="D12" s="33"/>
      <c r="E12" s="33"/>
      <c r="F12" s="33"/>
      <c r="G12" s="33"/>
      <c r="H12" s="33"/>
      <c r="I12" s="137"/>
      <c r="J12" s="33"/>
      <c r="K12" s="33"/>
      <c r="L12" s="33"/>
      <c r="M12" s="131" t="s">
        <v>63</v>
      </c>
      <c r="N12" s="1"/>
      <c r="O12" s="33"/>
      <c r="P12" s="33"/>
      <c r="Q12" s="137"/>
      <c r="R12" s="137"/>
      <c r="S12" s="33"/>
      <c r="T12" s="131" t="s">
        <v>63</v>
      </c>
    </row>
    <row r="13" spans="1:20" s="4" customFormat="1" x14ac:dyDescent="0.25">
      <c r="B13" s="137"/>
      <c r="C13" s="33"/>
      <c r="D13" s="33"/>
      <c r="E13" s="33"/>
      <c r="F13" s="33"/>
      <c r="G13" s="33"/>
      <c r="H13" s="33"/>
      <c r="I13" s="137"/>
      <c r="J13" s="33"/>
      <c r="K13" s="33"/>
      <c r="L13" s="33"/>
      <c r="M13" s="33"/>
      <c r="N13" s="1"/>
      <c r="O13" s="33"/>
      <c r="P13" s="33"/>
      <c r="Q13" s="137"/>
      <c r="R13" s="137"/>
      <c r="S13" s="33"/>
    </row>
    <row r="14" spans="1:20" s="4" customFormat="1" x14ac:dyDescent="0.25">
      <c r="B14" s="13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2"/>
      <c r="N14" s="1"/>
      <c r="O14" s="41"/>
      <c r="P14" s="41"/>
      <c r="Q14" s="41"/>
      <c r="R14" s="41"/>
      <c r="S14" s="41"/>
    </row>
    <row r="15" spans="1:20" s="4" customFormat="1" ht="15.75" thickBot="1" x14ac:dyDescent="0.3">
      <c r="B15" s="136"/>
      <c r="C15" s="61" t="s">
        <v>6</v>
      </c>
      <c r="D15" s="61" t="s">
        <v>16</v>
      </c>
      <c r="E15" s="61" t="s">
        <v>3</v>
      </c>
      <c r="F15" s="61" t="s">
        <v>17</v>
      </c>
      <c r="G15" s="61" t="s">
        <v>14</v>
      </c>
      <c r="H15" s="61" t="s">
        <v>4</v>
      </c>
      <c r="I15" s="61" t="s">
        <v>132</v>
      </c>
      <c r="J15" s="61" t="s">
        <v>15</v>
      </c>
      <c r="K15" s="62" t="s">
        <v>13</v>
      </c>
      <c r="L15" s="63" t="s">
        <v>19</v>
      </c>
      <c r="M15" s="50" t="s">
        <v>2</v>
      </c>
      <c r="N15" s="1"/>
      <c r="O15" s="61" t="s">
        <v>64</v>
      </c>
      <c r="P15" s="61" t="s">
        <v>65</v>
      </c>
      <c r="Q15" s="61" t="s">
        <v>135</v>
      </c>
      <c r="R15" s="61" t="s">
        <v>136</v>
      </c>
      <c r="S15" s="61" t="s">
        <v>66</v>
      </c>
      <c r="T15" s="63" t="s">
        <v>67</v>
      </c>
    </row>
    <row r="16" spans="1:20" s="4" customFormat="1" x14ac:dyDescent="0.25">
      <c r="B16" s="130" t="s">
        <v>82</v>
      </c>
      <c r="C16" s="65">
        <f>-C7/C6</f>
        <v>1.3348858872845832</v>
      </c>
      <c r="D16" s="65">
        <f>-D7/D6</f>
        <v>1.1539244024667075</v>
      </c>
      <c r="E16" s="65">
        <f>-E7/E6</f>
        <v>10.502673796791443</v>
      </c>
      <c r="F16" s="65">
        <f t="shared" ref="F16" si="7">-F7/F6</f>
        <v>1.0763561924257932</v>
      </c>
      <c r="G16" s="65">
        <f t="shared" ref="G16" si="8">-G7/G6</f>
        <v>1.0371116968182392</v>
      </c>
      <c r="H16" s="65">
        <f>-H7/H6</f>
        <v>0.89118136439267892</v>
      </c>
      <c r="I16" s="65">
        <f>-I7/I6</f>
        <v>1.0318451597313969</v>
      </c>
      <c r="J16" s="65">
        <f>-J7/J6</f>
        <v>1.0529801324503312</v>
      </c>
      <c r="K16" s="67">
        <f>-K7/K6</f>
        <v>0.98689759742035432</v>
      </c>
      <c r="L16" s="68">
        <f>-L7/L6</f>
        <v>0.86449502703424341</v>
      </c>
      <c r="M16" s="47">
        <f t="shared" ref="M16:M17" si="9">(L16-H16)*100</f>
        <v>-2.6686337358435508</v>
      </c>
      <c r="N16" s="1"/>
      <c r="O16" s="65">
        <f t="shared" ref="O16" si="10">-O7/O6</f>
        <v>0.96591350455535263</v>
      </c>
      <c r="P16" s="65">
        <f>-P7/P6</f>
        <v>0.64226009777388748</v>
      </c>
      <c r="Q16" s="65">
        <f t="shared" ref="Q16:R16" si="11">-Q7/Q6</f>
        <v>1.0318451597313969</v>
      </c>
      <c r="R16" s="65">
        <f t="shared" si="11"/>
        <v>1.0726266490980505</v>
      </c>
      <c r="S16" s="67">
        <f>-S7/S6</f>
        <v>0.86779007980625744</v>
      </c>
      <c r="T16" s="68">
        <f>-T7/T6</f>
        <v>0.62877633560733215</v>
      </c>
    </row>
    <row r="17" spans="2:20" s="4" customFormat="1" ht="15.75" thickBot="1" x14ac:dyDescent="0.3">
      <c r="B17" s="130" t="s">
        <v>83</v>
      </c>
      <c r="C17" s="65">
        <f>-(C8+C9)/C6</f>
        <v>2.9450395901257567</v>
      </c>
      <c r="D17" s="65">
        <f>-(D8+D9)/D6</f>
        <v>1.1549231150418482</v>
      </c>
      <c r="E17" s="65">
        <f>-(E8+E9)/E6</f>
        <v>12.350267379679144</v>
      </c>
      <c r="F17" s="65">
        <f t="shared" ref="F17" si="12">-(F8+F9)/F6</f>
        <v>0.46816786079836231</v>
      </c>
      <c r="G17" s="65">
        <f t="shared" ref="G17" si="13">-(G8+G9)/G6</f>
        <v>0.62762204508585362</v>
      </c>
      <c r="H17" s="65">
        <f>-(H8+H9)/H6</f>
        <v>0.7652246256239601</v>
      </c>
      <c r="I17" s="65">
        <f>-(I8+I9)/I6</f>
        <v>2.1014796801297385E-2</v>
      </c>
      <c r="J17" s="65">
        <f>-(J8+J9)/J6</f>
        <v>0.42100283822138129</v>
      </c>
      <c r="K17" s="67">
        <f>-(K8+K9)/K6</f>
        <v>0.54139289983316363</v>
      </c>
      <c r="L17" s="68">
        <f>-(L8+L9)/L6</f>
        <v>0.61678125625792668</v>
      </c>
      <c r="M17" s="47">
        <f t="shared" si="9"/>
        <v>-14.844336936603341</v>
      </c>
      <c r="N17" s="1"/>
      <c r="O17" s="65">
        <f t="shared" ref="O17" si="14">-(O8+O9)/O6</f>
        <v>0.91690719181194136</v>
      </c>
      <c r="P17" s="65">
        <f>-(P8+P9)/P6</f>
        <v>0.99994079510182987</v>
      </c>
      <c r="Q17" s="65">
        <f t="shared" ref="Q17:R17" si="15">-(Q8+Q9)/Q6</f>
        <v>2.1014796801297385E-2</v>
      </c>
      <c r="R17" s="65">
        <f t="shared" si="15"/>
        <v>0.79282123700304874</v>
      </c>
      <c r="S17" s="67">
        <f>-(S8+S9)/S6</f>
        <v>0.75838459631519006</v>
      </c>
      <c r="T17" s="68">
        <f>-(T8+T9)/T6</f>
        <v>0.76196157942610032</v>
      </c>
    </row>
    <row r="18" spans="2:20" s="4" customFormat="1" ht="15.75" thickBot="1" x14ac:dyDescent="0.3">
      <c r="B18" s="134" t="s">
        <v>84</v>
      </c>
      <c r="C18" s="69">
        <f>-(C7+C8+C9)/C6</f>
        <v>4.2799254774103401</v>
      </c>
      <c r="D18" s="69">
        <f>-(D7+D8+D9)/D6</f>
        <v>2.3088475175085561</v>
      </c>
      <c r="E18" s="69">
        <f>-(E7+E8+E9)/E6</f>
        <v>22.852941176470587</v>
      </c>
      <c r="F18" s="69">
        <f t="shared" ref="F18" si="16">-(F7+F8+F9)/F6</f>
        <v>1.5445240532241555</v>
      </c>
      <c r="G18" s="69">
        <f t="shared" ref="G18" si="17">-(G7+G8+G9)/G6</f>
        <v>1.6647337419040926</v>
      </c>
      <c r="H18" s="69">
        <f>-(H7+H8+H9)/H6</f>
        <v>1.656405990016639</v>
      </c>
      <c r="I18" s="69">
        <f>-(I7+I8+I9)/I6</f>
        <v>1.0528599565326942</v>
      </c>
      <c r="J18" s="69">
        <f>-(J7+J8+J9)/J6</f>
        <v>1.4739829706717125</v>
      </c>
      <c r="K18" s="70">
        <f>-(K7+K8+K9)/K6</f>
        <v>1.5282904972535178</v>
      </c>
      <c r="L18" s="71">
        <f>-(L7+L8+L9)/L6</f>
        <v>1.48127628329217</v>
      </c>
      <c r="M18" s="52">
        <f>(L18-H18)*100</f>
        <v>-17.512970672446905</v>
      </c>
      <c r="N18" s="1"/>
      <c r="O18" s="69">
        <f t="shared" ref="O18" si="18">-(O7+O8+O9)/O6</f>
        <v>1.882820696367294</v>
      </c>
      <c r="P18" s="69">
        <f>-(P7+P8+P9)/P6</f>
        <v>1.6422008928757172</v>
      </c>
      <c r="Q18" s="69">
        <f t="shared" ref="Q18:R18" si="19">-(Q7+Q8+Q9)/Q6</f>
        <v>1.0528599565326942</v>
      </c>
      <c r="R18" s="69">
        <f t="shared" si="19"/>
        <v>1.865447886101099</v>
      </c>
      <c r="S18" s="70">
        <f>-(S7+S8+S9)/S6</f>
        <v>1.6261746761214475</v>
      </c>
      <c r="T18" s="71">
        <f>-(T7+T8+T9)/T6</f>
        <v>1.3907379150334325</v>
      </c>
    </row>
    <row r="19" spans="2:20" s="4" customFormat="1" x14ac:dyDescent="0.25">
      <c r="B19" s="3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64"/>
    </row>
    <row r="20" spans="2:20" s="4" customFormat="1" x14ac:dyDescent="0.25">
      <c r="M20" s="6"/>
      <c r="N20" s="66"/>
    </row>
  </sheetData>
  <hyperlinks>
    <hyperlink ref="A2" location="'Financial supplement&gt;&gt;&gt;'!A1" display="INDEX" xr:uid="{4759E408-9D67-4D5F-A24F-4AB81038EC25}"/>
  </hyperlinks>
  <pageMargins left="0.7" right="0.7" top="0.75" bottom="0.75" header="0.3" footer="0.3"/>
  <pageSetup paperSize="9" scale="71" orientation="landscape" r:id="rId1"/>
  <ignoredErrors>
    <ignoredError sqref="K10:L10 C10:H10 I10:J10" formulaRange="1"/>
    <ignoredError sqref="Q5:Q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T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4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3" width="11" style="5" customWidth="1"/>
    <col min="14" max="14" width="3" style="1" customWidth="1"/>
    <col min="15" max="16384" width="10.85546875" style="5"/>
  </cols>
  <sheetData>
    <row r="1" spans="1:20" ht="16.5" customHeight="1" x14ac:dyDescent="0.2"/>
    <row r="2" spans="1:20" ht="18.75" customHeight="1" thickBot="1" x14ac:dyDescent="0.25">
      <c r="A2" s="95" t="s">
        <v>20</v>
      </c>
      <c r="B2" s="125" t="s">
        <v>33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125" t="s">
        <v>34</v>
      </c>
      <c r="P2" s="23"/>
      <c r="Q2" s="23"/>
      <c r="R2" s="23"/>
      <c r="S2" s="23"/>
      <c r="T2" s="23"/>
    </row>
    <row r="4" spans="1:20" s="4" customFormat="1" ht="15.75" thickBot="1" x14ac:dyDescent="0.3">
      <c r="B4" s="37"/>
      <c r="C4" s="61" t="s">
        <v>6</v>
      </c>
      <c r="D4" s="61" t="s">
        <v>16</v>
      </c>
      <c r="E4" s="61" t="s">
        <v>3</v>
      </c>
      <c r="F4" s="61" t="s">
        <v>17</v>
      </c>
      <c r="G4" s="61" t="s">
        <v>14</v>
      </c>
      <c r="H4" s="61" t="s">
        <v>4</v>
      </c>
      <c r="I4" s="61" t="s">
        <v>132</v>
      </c>
      <c r="J4" s="61" t="s">
        <v>15</v>
      </c>
      <c r="K4" s="61" t="s">
        <v>13</v>
      </c>
      <c r="L4" s="63" t="s">
        <v>19</v>
      </c>
      <c r="M4" s="49" t="s">
        <v>0</v>
      </c>
      <c r="N4" s="1"/>
      <c r="O4" s="61" t="s">
        <v>64</v>
      </c>
      <c r="P4" s="61" t="s">
        <v>65</v>
      </c>
      <c r="Q4" s="61" t="s">
        <v>135</v>
      </c>
      <c r="R4" s="61" t="s">
        <v>136</v>
      </c>
      <c r="S4" s="61" t="s">
        <v>66</v>
      </c>
      <c r="T4" s="63" t="s">
        <v>67</v>
      </c>
    </row>
    <row r="5" spans="1:20" s="4" customFormat="1" x14ac:dyDescent="0.25">
      <c r="B5" s="132" t="s">
        <v>68</v>
      </c>
      <c r="C5" s="110">
        <v>3733</v>
      </c>
      <c r="D5" s="110">
        <v>2922.9176800000005</v>
      </c>
      <c r="E5" s="110">
        <v>3036</v>
      </c>
      <c r="F5" s="110">
        <v>1455.98549</v>
      </c>
      <c r="G5" s="110">
        <v>1458.5712900000001</v>
      </c>
      <c r="H5" s="110">
        <v>1478</v>
      </c>
      <c r="I5" s="110">
        <v>1348.4669300000003</v>
      </c>
      <c r="J5" s="110">
        <v>1363.2525899999998</v>
      </c>
      <c r="K5" s="110">
        <v>1379.12904</v>
      </c>
      <c r="L5" s="112">
        <v>1397</v>
      </c>
      <c r="M5" s="45">
        <f>+L5/H5-1</f>
        <v>-5.4803788903924233E-2</v>
      </c>
      <c r="N5" s="1"/>
      <c r="O5" s="110">
        <f>G5-F5</f>
        <v>2.5858000000000629</v>
      </c>
      <c r="P5" s="110">
        <f>H5-G5</f>
        <v>19.42870999999991</v>
      </c>
      <c r="Q5" s="16">
        <f t="shared" ref="Q5:Q9" si="0">I5</f>
        <v>1348.4669300000003</v>
      </c>
      <c r="R5" s="110">
        <f t="shared" ref="R5:S10" si="1">J5-I5</f>
        <v>14.785659999999552</v>
      </c>
      <c r="S5" s="110">
        <f t="shared" si="1"/>
        <v>15.876450000000204</v>
      </c>
      <c r="T5" s="112">
        <f t="shared" ref="T5:T10" si="2">L5-K5</f>
        <v>17.870959999999968</v>
      </c>
    </row>
    <row r="6" spans="1:20" s="4" customFormat="1" x14ac:dyDescent="0.25">
      <c r="B6" s="132" t="s">
        <v>69</v>
      </c>
      <c r="C6" s="110">
        <v>3215</v>
      </c>
      <c r="D6" s="110">
        <v>2324.0937800000011</v>
      </c>
      <c r="E6" s="110">
        <v>3045</v>
      </c>
      <c r="F6" s="110">
        <v>1076.1931599999994</v>
      </c>
      <c r="G6" s="110">
        <v>1494.5009200000009</v>
      </c>
      <c r="H6" s="110">
        <v>2005.9999999999998</v>
      </c>
      <c r="I6" s="110">
        <v>324.09143000000017</v>
      </c>
      <c r="J6" s="110">
        <v>678.65083999999956</v>
      </c>
      <c r="K6" s="110">
        <v>1032.8062699999991</v>
      </c>
      <c r="L6" s="112">
        <v>1388</v>
      </c>
      <c r="M6" s="45">
        <f t="shared" ref="M6:M11" si="3">+L6/H6-1</f>
        <v>-0.30807577268195407</v>
      </c>
      <c r="N6" s="1"/>
      <c r="O6" s="110">
        <f>G6-F6</f>
        <v>418.30776000000151</v>
      </c>
      <c r="P6" s="110">
        <f t="shared" ref="P6:P10" si="4">H6-G6</f>
        <v>511.49907999999891</v>
      </c>
      <c r="Q6" s="16">
        <f t="shared" si="0"/>
        <v>324.09143000000017</v>
      </c>
      <c r="R6" s="110">
        <f t="shared" si="1"/>
        <v>354.55940999999939</v>
      </c>
      <c r="S6" s="110">
        <f t="shared" si="1"/>
        <v>354.15542999999957</v>
      </c>
      <c r="T6" s="112">
        <f t="shared" si="2"/>
        <v>355.19373000000087</v>
      </c>
    </row>
    <row r="7" spans="1:20" s="4" customFormat="1" x14ac:dyDescent="0.25">
      <c r="B7" s="130" t="s">
        <v>70</v>
      </c>
      <c r="C7" s="64">
        <v>-223</v>
      </c>
      <c r="D7" s="64">
        <v>-236.41472000000036</v>
      </c>
      <c r="E7" s="64">
        <v>-328</v>
      </c>
      <c r="F7" s="64">
        <v>-326.50592000000017</v>
      </c>
      <c r="G7" s="64">
        <v>-416.03276999999957</v>
      </c>
      <c r="H7" s="64">
        <v>-292</v>
      </c>
      <c r="I7" s="64">
        <v>-38.141270000000134</v>
      </c>
      <c r="J7" s="64">
        <v>-31.639760000000294</v>
      </c>
      <c r="K7" s="64">
        <v>-37.001470000000211</v>
      </c>
      <c r="L7" s="27">
        <v>0</v>
      </c>
      <c r="M7" s="46">
        <f t="shared" si="3"/>
        <v>-1</v>
      </c>
      <c r="N7" s="1"/>
      <c r="O7" s="64">
        <f>G7-F7</f>
        <v>-89.526849999999399</v>
      </c>
      <c r="P7" s="64">
        <f t="shared" si="4"/>
        <v>124.03276999999957</v>
      </c>
      <c r="Q7" s="17">
        <f t="shared" si="0"/>
        <v>-38.141270000000134</v>
      </c>
      <c r="R7" s="64">
        <f t="shared" si="1"/>
        <v>6.5015099999998398</v>
      </c>
      <c r="S7" s="64">
        <f t="shared" si="1"/>
        <v>-5.3617099999999169</v>
      </c>
      <c r="T7" s="107">
        <f t="shared" si="2"/>
        <v>37.001470000000211</v>
      </c>
    </row>
    <row r="8" spans="1:20" s="4" customFormat="1" x14ac:dyDescent="0.25">
      <c r="B8" s="130" t="s">
        <v>88</v>
      </c>
      <c r="C8" s="64">
        <v>-751</v>
      </c>
      <c r="D8" s="64">
        <v>-536.81047999999998</v>
      </c>
      <c r="E8" s="64">
        <v>-724</v>
      </c>
      <c r="F8" s="64">
        <v>-416.92200000000003</v>
      </c>
      <c r="G8" s="64">
        <v>-499.85578000000004</v>
      </c>
      <c r="H8" s="64">
        <v>-708</v>
      </c>
      <c r="I8" s="64">
        <v>-184.428</v>
      </c>
      <c r="J8" s="64">
        <v>-172.00487000000001</v>
      </c>
      <c r="K8" s="64">
        <v>-386.88099</v>
      </c>
      <c r="L8" s="107">
        <v>-594</v>
      </c>
      <c r="M8" s="46">
        <f t="shared" si="3"/>
        <v>-0.16101694915254239</v>
      </c>
      <c r="N8" s="1"/>
      <c r="O8" s="64">
        <f>G8-F8</f>
        <v>-82.933780000000013</v>
      </c>
      <c r="P8" s="64">
        <f t="shared" si="4"/>
        <v>-208.14421999999996</v>
      </c>
      <c r="Q8" s="17">
        <f t="shared" si="0"/>
        <v>-184.428</v>
      </c>
      <c r="R8" s="64">
        <f t="shared" si="1"/>
        <v>12.423129999999986</v>
      </c>
      <c r="S8" s="64">
        <f t="shared" si="1"/>
        <v>-214.87611999999999</v>
      </c>
      <c r="T8" s="107">
        <f t="shared" si="2"/>
        <v>-207.11901</v>
      </c>
    </row>
    <row r="9" spans="1:20" s="4" customFormat="1" x14ac:dyDescent="0.25">
      <c r="B9" s="130" t="s">
        <v>71</v>
      </c>
      <c r="C9" s="64">
        <v>-1055</v>
      </c>
      <c r="D9" s="64">
        <v>-546.89414447900003</v>
      </c>
      <c r="E9" s="64">
        <v>-877</v>
      </c>
      <c r="F9" s="64">
        <v>-84.976086649599992</v>
      </c>
      <c r="G9" s="64">
        <v>-199.36252122880001</v>
      </c>
      <c r="H9" s="64">
        <v>-342</v>
      </c>
      <c r="I9" s="64">
        <v>-8.424057846239922</v>
      </c>
      <c r="J9" s="64">
        <v>-10.515027059199998</v>
      </c>
      <c r="K9" s="64">
        <v>-12.3646754888</v>
      </c>
      <c r="L9" s="107">
        <v>-113</v>
      </c>
      <c r="M9" s="46">
        <f t="shared" si="3"/>
        <v>-0.66959064327485374</v>
      </c>
      <c r="N9" s="1"/>
      <c r="O9" s="64">
        <f>G9-F9</f>
        <v>-114.38643457920001</v>
      </c>
      <c r="P9" s="64">
        <f t="shared" si="4"/>
        <v>-142.63747877119999</v>
      </c>
      <c r="Q9" s="17">
        <f t="shared" si="0"/>
        <v>-8.424057846239922</v>
      </c>
      <c r="R9" s="64">
        <f t="shared" si="1"/>
        <v>-2.0909692129600757</v>
      </c>
      <c r="S9" s="64">
        <f t="shared" si="1"/>
        <v>-1.849648429600002</v>
      </c>
      <c r="T9" s="107">
        <f t="shared" si="2"/>
        <v>-100.6353245112</v>
      </c>
    </row>
    <row r="10" spans="1:20" s="4" customFormat="1" ht="15.75" thickBot="1" x14ac:dyDescent="0.3">
      <c r="B10" s="130" t="s">
        <v>72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27">
        <v>0</v>
      </c>
      <c r="M10" s="46" t="s">
        <v>7</v>
      </c>
      <c r="N10" s="1"/>
      <c r="O10" s="17">
        <f>G10-F10</f>
        <v>0</v>
      </c>
      <c r="P10" s="17">
        <f t="shared" si="4"/>
        <v>0</v>
      </c>
      <c r="Q10" s="17">
        <f>I10</f>
        <v>0</v>
      </c>
      <c r="R10" s="17">
        <f t="shared" si="1"/>
        <v>0</v>
      </c>
      <c r="S10" s="17">
        <f t="shared" si="1"/>
        <v>0</v>
      </c>
      <c r="T10" s="27">
        <f t="shared" si="2"/>
        <v>0</v>
      </c>
    </row>
    <row r="11" spans="1:20" s="4" customFormat="1" ht="15.75" thickBot="1" x14ac:dyDescent="0.3">
      <c r="B11" s="134" t="s">
        <v>73</v>
      </c>
      <c r="C11" s="108">
        <f>SUM(C6:C10)</f>
        <v>1186</v>
      </c>
      <c r="D11" s="108">
        <f>SUM(D6:D10)</f>
        <v>1003.9744355210007</v>
      </c>
      <c r="E11" s="108">
        <f>SUM(E6:E10)</f>
        <v>1116</v>
      </c>
      <c r="F11" s="108">
        <f t="shared" ref="F11:G11" si="5">SUM(F6:F10)</f>
        <v>247.78915335039915</v>
      </c>
      <c r="G11" s="108">
        <f t="shared" si="5"/>
        <v>379.24984877120119</v>
      </c>
      <c r="H11" s="108">
        <f>SUM(H6:H10)</f>
        <v>663.99999999999977</v>
      </c>
      <c r="I11" s="108">
        <f>SUM(I6:I10)</f>
        <v>93.098102153760124</v>
      </c>
      <c r="J11" s="108">
        <f>SUM(J6:J10)</f>
        <v>464.49118294079932</v>
      </c>
      <c r="K11" s="114">
        <f>SUM(K6:K10)</f>
        <v>596.55913451119898</v>
      </c>
      <c r="L11" s="124">
        <f>SUM(L6:L10)</f>
        <v>681</v>
      </c>
      <c r="M11" s="51">
        <f t="shared" si="3"/>
        <v>2.5602409638554535E-2</v>
      </c>
      <c r="N11" s="1"/>
      <c r="O11" s="108">
        <f t="shared" ref="O11:R11" si="6">SUM(O6:O10)</f>
        <v>131.4606954208021</v>
      </c>
      <c r="P11" s="108">
        <f t="shared" si="6"/>
        <v>284.75015122879853</v>
      </c>
      <c r="Q11" s="108">
        <f t="shared" si="6"/>
        <v>93.098102153760124</v>
      </c>
      <c r="R11" s="108">
        <f t="shared" si="6"/>
        <v>371.39308078703914</v>
      </c>
      <c r="S11" s="114">
        <f>SUM(S6:S10)</f>
        <v>132.06795157039969</v>
      </c>
      <c r="T11" s="109">
        <f>SUM(T6:T10)</f>
        <v>84.44086548880108</v>
      </c>
    </row>
    <row r="12" spans="1:20" s="4" customFormat="1" ht="9" customHeight="1" x14ac:dyDescent="0.25">
      <c r="B12" s="132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5"/>
      <c r="N12" s="1"/>
    </row>
    <row r="13" spans="1:20" s="4" customFormat="1" x14ac:dyDescent="0.25">
      <c r="B13" s="137"/>
      <c r="C13" s="66"/>
      <c r="D13" s="66"/>
      <c r="E13" s="66"/>
      <c r="F13" s="66"/>
      <c r="G13" s="66"/>
      <c r="H13" s="66"/>
      <c r="I13" s="144"/>
      <c r="J13" s="66"/>
      <c r="K13" s="66"/>
      <c r="L13" s="66"/>
      <c r="M13" s="131" t="s">
        <v>63</v>
      </c>
      <c r="N13" s="1"/>
      <c r="T13" s="131" t="s">
        <v>63</v>
      </c>
    </row>
    <row r="14" spans="1:20" s="4" customFormat="1" x14ac:dyDescent="0.25">
      <c r="B14" s="137"/>
      <c r="C14" s="66"/>
      <c r="D14" s="66"/>
      <c r="E14" s="66"/>
      <c r="F14" s="66"/>
      <c r="G14" s="66"/>
      <c r="H14" s="66"/>
      <c r="I14" s="144"/>
      <c r="J14" s="66"/>
      <c r="K14" s="66"/>
      <c r="L14" s="66"/>
      <c r="M14" s="66"/>
      <c r="N14" s="1"/>
    </row>
    <row r="15" spans="1:20" s="4" customFormat="1" x14ac:dyDescent="0.25">
      <c r="B15" s="132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1"/>
    </row>
    <row r="16" spans="1:20" s="4" customFormat="1" ht="15.75" thickBot="1" x14ac:dyDescent="0.3">
      <c r="B16" s="136"/>
      <c r="C16" s="61" t="s">
        <v>6</v>
      </c>
      <c r="D16" s="61" t="s">
        <v>16</v>
      </c>
      <c r="E16" s="61" t="s">
        <v>3</v>
      </c>
      <c r="F16" s="61" t="s">
        <v>17</v>
      </c>
      <c r="G16" s="61" t="s">
        <v>14</v>
      </c>
      <c r="H16" s="61" t="s">
        <v>4</v>
      </c>
      <c r="I16" s="61" t="s">
        <v>132</v>
      </c>
      <c r="J16" s="61" t="s">
        <v>15</v>
      </c>
      <c r="K16" s="61" t="s">
        <v>13</v>
      </c>
      <c r="L16" s="63" t="s">
        <v>19</v>
      </c>
      <c r="M16" s="50" t="s">
        <v>2</v>
      </c>
      <c r="N16" s="1"/>
      <c r="O16" s="61" t="s">
        <v>64</v>
      </c>
      <c r="P16" s="61" t="s">
        <v>65</v>
      </c>
      <c r="Q16" s="61" t="s">
        <v>135</v>
      </c>
      <c r="R16" s="61" t="s">
        <v>136</v>
      </c>
      <c r="S16" s="61" t="s">
        <v>66</v>
      </c>
      <c r="T16" s="63" t="s">
        <v>67</v>
      </c>
    </row>
    <row r="17" spans="2:20" s="4" customFormat="1" x14ac:dyDescent="0.25">
      <c r="B17" s="130" t="s">
        <v>82</v>
      </c>
      <c r="C17" s="65">
        <f>-C7/C6</f>
        <v>6.9362363919129089E-2</v>
      </c>
      <c r="D17" s="65">
        <f>-D7/D6</f>
        <v>0.10172339947486983</v>
      </c>
      <c r="E17" s="65">
        <f>-E7/E6</f>
        <v>0.10771756978653531</v>
      </c>
      <c r="F17" s="65">
        <f t="shared" ref="F17" si="7">-F7/F6</f>
        <v>0.30338970004232363</v>
      </c>
      <c r="G17" s="65">
        <f t="shared" ref="G17" si="8">-G7/G6</f>
        <v>0.27837572023709384</v>
      </c>
      <c r="H17" s="65">
        <f>-H7/H6</f>
        <v>0.14556331006979065</v>
      </c>
      <c r="I17" s="65">
        <f>-I7/I6</f>
        <v>0.11768675894947334</v>
      </c>
      <c r="J17" s="65">
        <f>-J7/J6</f>
        <v>4.6621558738511711E-2</v>
      </c>
      <c r="K17" s="65">
        <f>-K7/K6</f>
        <v>3.5826147724684364E-2</v>
      </c>
      <c r="L17" s="68">
        <f>-L7/L6</f>
        <v>0</v>
      </c>
      <c r="M17" s="47">
        <f>(L17-H17)*100</f>
        <v>-14.556331006979065</v>
      </c>
      <c r="N17" s="1"/>
      <c r="O17" s="65">
        <f t="shared" ref="O17" si="9">-O7/O6</f>
        <v>0.21402148982366256</v>
      </c>
      <c r="P17" s="65">
        <f>-P7/P6</f>
        <v>-0.24248874504329476</v>
      </c>
      <c r="Q17" s="65">
        <f>-Q7/Q6</f>
        <v>0.11768675894947334</v>
      </c>
      <c r="R17" s="65">
        <f>-R7/R6</f>
        <v>-1.8336870540256851E-2</v>
      </c>
      <c r="S17" s="65">
        <f>-S7/S6</f>
        <v>1.5139426211818702E-2</v>
      </c>
      <c r="T17" s="68">
        <f>-T7/T6</f>
        <v>-0.10417264403850857</v>
      </c>
    </row>
    <row r="18" spans="2:20" s="4" customFormat="1" ht="15.75" thickBot="1" x14ac:dyDescent="0.3">
      <c r="B18" s="130" t="s">
        <v>83</v>
      </c>
      <c r="C18" s="65">
        <f>-(C9+C10+C8)/C6</f>
        <v>0.56174183514774489</v>
      </c>
      <c r="D18" s="65">
        <f>-(D9+D10+D8)/D6</f>
        <v>0.46629126320324277</v>
      </c>
      <c r="E18" s="65">
        <f>-(E9+E10+E8)/E6</f>
        <v>0.52577996715927755</v>
      </c>
      <c r="F18" s="65">
        <f t="shared" ref="F18" si="10">-(F9+F10+F8)/F6</f>
        <v>0.46636431572339704</v>
      </c>
      <c r="G18" s="65">
        <f t="shared" ref="G18" si="11">-(G9+G10+G8)/G6</f>
        <v>0.46786073656535432</v>
      </c>
      <c r="H18" s="65">
        <f>-(H9+H10+H8)/H6</f>
        <v>0.52342971086739787</v>
      </c>
      <c r="I18" s="65">
        <f>-(I9+I10+I8)/I6</f>
        <v>0.59505448152775842</v>
      </c>
      <c r="J18" s="65">
        <f>-(J9+J10+J8)/J6</f>
        <v>0.26894521645210095</v>
      </c>
      <c r="K18" s="65">
        <f>-(K9+K10+K8)/K6</f>
        <v>0.38656394435792912</v>
      </c>
      <c r="L18" s="68">
        <f>-(L9+L10+L8)/L6</f>
        <v>0.50936599423631124</v>
      </c>
      <c r="M18" s="47">
        <f t="shared" ref="M18:M19" si="12">(L18-H18)*100</f>
        <v>-1.4063716631086631</v>
      </c>
      <c r="N18" s="1"/>
      <c r="O18" s="65">
        <f t="shared" ref="O18" si="13">-(O9+O10+O8)/O6</f>
        <v>0.47171062420453136</v>
      </c>
      <c r="P18" s="65">
        <f>-(P9+P10+P8)/P6</f>
        <v>0.68579145591268842</v>
      </c>
      <c r="Q18" s="65">
        <f>-(Q9+Q10+Q8)/Q6</f>
        <v>0.59505448152775842</v>
      </c>
      <c r="R18" s="65">
        <f>-(R9+R10+R8)/R6</f>
        <v>-2.9140844934957243E-2</v>
      </c>
      <c r="S18" s="65">
        <f>-(S9+S10+S8)/S6</f>
        <v>0.61195099685355736</v>
      </c>
      <c r="T18" s="68">
        <f>-(T9+T10+T8)/T6</f>
        <v>0.8664407857402191</v>
      </c>
    </row>
    <row r="19" spans="2:20" s="4" customFormat="1" ht="15.75" thickBot="1" x14ac:dyDescent="0.3">
      <c r="B19" s="134" t="s">
        <v>84</v>
      </c>
      <c r="C19" s="69">
        <f>-(C7+C9+C10+C8)/C6</f>
        <v>0.63110419906687398</v>
      </c>
      <c r="D19" s="69">
        <f>-(D7+D9+D10+D8)/D6</f>
        <v>0.56801466267811263</v>
      </c>
      <c r="E19" s="69">
        <f>-(E7+E9+E10+E8)/E6</f>
        <v>0.63349753694581279</v>
      </c>
      <c r="F19" s="69">
        <f t="shared" ref="F19" si="14">-(F7+F9+F10+F8)/F6</f>
        <v>0.76975401576572067</v>
      </c>
      <c r="G19" s="69">
        <f t="shared" ref="G19" si="15">-(G7+G9+G10+G8)/G6</f>
        <v>0.74623645680244821</v>
      </c>
      <c r="H19" s="69">
        <f>-(H7+H9+H10+H8)/H6</f>
        <v>0.66899302093718849</v>
      </c>
      <c r="I19" s="69">
        <f>-(I7+I9+I10+I8)/I6</f>
        <v>0.71274124047723175</v>
      </c>
      <c r="J19" s="69">
        <f>-(J7+J9+J10+J8)/J6</f>
        <v>0.31556677519061266</v>
      </c>
      <c r="K19" s="69">
        <f>-(K7+K9+K10+K8)/K6</f>
        <v>0.42239009208261352</v>
      </c>
      <c r="L19" s="71">
        <f>-(L7+L9+L10+L8)/L6</f>
        <v>0.50936599423631124</v>
      </c>
      <c r="M19" s="52">
        <f t="shared" si="12"/>
        <v>-15.962702670087726</v>
      </c>
      <c r="N19" s="64"/>
      <c r="O19" s="69">
        <f t="shared" ref="O19:R19" si="16">-(O7+O9+O10+O8)/O6</f>
        <v>0.6857321140281939</v>
      </c>
      <c r="P19" s="69">
        <f t="shared" si="16"/>
        <v>0.44330271086939366</v>
      </c>
      <c r="Q19" s="69">
        <f t="shared" si="16"/>
        <v>0.71274124047723175</v>
      </c>
      <c r="R19" s="69">
        <f t="shared" si="16"/>
        <v>-4.7477715475214094E-2</v>
      </c>
      <c r="S19" s="69">
        <f>-(S7+S9+S10+S8)/S6</f>
        <v>0.6270904230653761</v>
      </c>
      <c r="T19" s="71">
        <f>-(T7+T9+T10+T8)/T6</f>
        <v>0.76226814170171053</v>
      </c>
    </row>
    <row r="20" spans="2:20" s="4" customFormat="1" x14ac:dyDescent="0.25">
      <c r="B20" s="3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66"/>
    </row>
    <row r="21" spans="2:20" s="4" customFormat="1" x14ac:dyDescent="0.25">
      <c r="M21" s="6"/>
      <c r="N21" s="1"/>
    </row>
    <row r="22" spans="2:20" x14ac:dyDescent="0.2">
      <c r="O22" s="4"/>
      <c r="P22" s="4"/>
      <c r="Q22" s="4"/>
      <c r="R22" s="4"/>
      <c r="S22" s="4"/>
      <c r="T22" s="4"/>
    </row>
  </sheetData>
  <hyperlinks>
    <hyperlink ref="A2" location="'Financial supplement&gt;&gt;&gt;'!A1" display="INDEX" xr:uid="{8F71E37C-406E-42CB-A228-B9145E3257F7}"/>
  </hyperlinks>
  <pageMargins left="0.7" right="0.7" top="0.75" bottom="0.75" header="0.3" footer="0.3"/>
  <pageSetup paperSize="9" scale="71" orientation="landscape" r:id="rId1"/>
  <ignoredErrors>
    <ignoredError sqref="K11:L11 C11:H11 I11:J11" formulaRange="1"/>
    <ignoredError sqref="Q5:Q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G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5" customWidth="1"/>
    <col min="2" max="2" width="39" style="5" customWidth="1"/>
    <col min="3" max="5" width="13.5703125" style="5" customWidth="1"/>
    <col min="6" max="6" width="10.85546875" style="5" bestFit="1" customWidth="1"/>
    <col min="7" max="7" width="9.7109375" style="5" customWidth="1"/>
    <col min="8" max="16384" width="10.85546875" style="5"/>
  </cols>
  <sheetData>
    <row r="1" spans="1:7" ht="16.5" customHeight="1" x14ac:dyDescent="0.2"/>
    <row r="2" spans="1:7" ht="18.75" customHeight="1" thickBot="1" x14ac:dyDescent="0.25">
      <c r="A2" s="95" t="s">
        <v>20</v>
      </c>
      <c r="B2" s="125" t="s">
        <v>89</v>
      </c>
      <c r="C2" s="23"/>
      <c r="D2" s="23"/>
      <c r="E2" s="23"/>
      <c r="F2" s="23"/>
      <c r="G2" s="23"/>
    </row>
    <row r="4" spans="1:7" ht="14.25" thickBot="1" x14ac:dyDescent="0.25">
      <c r="B4" s="37"/>
      <c r="C4" s="48" t="s">
        <v>6</v>
      </c>
      <c r="D4" s="48" t="s">
        <v>3</v>
      </c>
      <c r="E4" s="48" t="s">
        <v>4</v>
      </c>
      <c r="F4" s="148" t="s">
        <v>19</v>
      </c>
      <c r="G4" s="149"/>
    </row>
    <row r="5" spans="1:7" ht="13.5" x14ac:dyDescent="0.2">
      <c r="B5" s="127" t="s">
        <v>90</v>
      </c>
      <c r="C5" s="104">
        <f>C6+C13</f>
        <v>696945.09054</v>
      </c>
      <c r="D5" s="104">
        <f>D6+D13</f>
        <v>720797.13546999998</v>
      </c>
      <c r="E5" s="104">
        <f>E6+E13</f>
        <v>801209.28558999998</v>
      </c>
      <c r="F5" s="115">
        <f>F6+F13</f>
        <v>722005</v>
      </c>
      <c r="G5" s="72">
        <f t="shared" ref="G5:G21" si="0">F5/F$22</f>
        <v>0.76692779562896674</v>
      </c>
    </row>
    <row r="6" spans="1:7" ht="13.5" x14ac:dyDescent="0.2">
      <c r="B6" s="138" t="s">
        <v>91</v>
      </c>
      <c r="C6" s="104">
        <f>SUM(C7:C12)</f>
        <v>397566.68119000003</v>
      </c>
      <c r="D6" s="104">
        <f>SUM(D7:D12)</f>
        <v>394655.81483999995</v>
      </c>
      <c r="E6" s="104">
        <f>SUM(E7:E12)</f>
        <v>438763.14398999995</v>
      </c>
      <c r="F6" s="115">
        <f>SUM(F7:F12)</f>
        <v>396345</v>
      </c>
      <c r="G6" s="72">
        <f t="shared" si="0"/>
        <v>0.4210053907640014</v>
      </c>
    </row>
    <row r="7" spans="1:7" ht="13.5" x14ac:dyDescent="0.2">
      <c r="B7" s="139" t="s">
        <v>92</v>
      </c>
      <c r="C7" s="116">
        <v>263898.88505000004</v>
      </c>
      <c r="D7" s="116">
        <v>247394.05644000001</v>
      </c>
      <c r="E7" s="116">
        <v>216811.94155999995</v>
      </c>
      <c r="F7" s="117">
        <v>184414</v>
      </c>
      <c r="G7" s="73">
        <f t="shared" si="0"/>
        <v>0.19588814828584328</v>
      </c>
    </row>
    <row r="8" spans="1:7" ht="13.5" x14ac:dyDescent="0.2">
      <c r="B8" s="139" t="s">
        <v>93</v>
      </c>
      <c r="C8" s="116">
        <v>80202.5</v>
      </c>
      <c r="D8" s="116">
        <v>91853.940789999993</v>
      </c>
      <c r="E8" s="116">
        <v>157271.44813</v>
      </c>
      <c r="F8" s="117">
        <v>150362</v>
      </c>
      <c r="G8" s="73">
        <f t="shared" si="0"/>
        <v>0.1597174496109621</v>
      </c>
    </row>
    <row r="9" spans="1:7" ht="13.5" x14ac:dyDescent="0.2">
      <c r="B9" s="139" t="s">
        <v>5</v>
      </c>
      <c r="C9" s="116">
        <v>47496.68894</v>
      </c>
      <c r="D9" s="116">
        <v>48972.218159999997</v>
      </c>
      <c r="E9" s="116">
        <v>57670.556810000002</v>
      </c>
      <c r="F9" s="117">
        <v>47717</v>
      </c>
      <c r="G9" s="73">
        <f t="shared" si="0"/>
        <v>5.0685928247072257E-2</v>
      </c>
    </row>
    <row r="10" spans="1:7" ht="13.5" x14ac:dyDescent="0.2">
      <c r="B10" s="139" t="s">
        <v>94</v>
      </c>
      <c r="C10" s="116">
        <v>4214.27945</v>
      </c>
      <c r="D10" s="116">
        <v>4648.5994499999997</v>
      </c>
      <c r="E10" s="122">
        <v>0</v>
      </c>
      <c r="F10" s="123">
        <v>0</v>
      </c>
      <c r="G10" s="73">
        <f t="shared" si="0"/>
        <v>0</v>
      </c>
    </row>
    <row r="11" spans="1:7" ht="13.5" x14ac:dyDescent="0.2">
      <c r="B11" s="139" t="s">
        <v>95</v>
      </c>
      <c r="C11" s="116">
        <v>1754.3277499999999</v>
      </c>
      <c r="D11" s="116">
        <v>1787</v>
      </c>
      <c r="E11" s="116">
        <v>1629.18226</v>
      </c>
      <c r="F11" s="117">
        <v>2965</v>
      </c>
      <c r="G11" s="73">
        <f t="shared" si="0"/>
        <v>3.1494808402156307E-3</v>
      </c>
    </row>
    <row r="12" spans="1:7" ht="13.5" x14ac:dyDescent="0.2">
      <c r="B12" s="139" t="s">
        <v>27</v>
      </c>
      <c r="C12" s="122">
        <v>0</v>
      </c>
      <c r="D12" s="122">
        <v>0</v>
      </c>
      <c r="E12" s="116">
        <v>5380.01523</v>
      </c>
      <c r="F12" s="117">
        <v>10887</v>
      </c>
      <c r="G12" s="73">
        <f t="shared" si="0"/>
        <v>1.1564383779908118E-2</v>
      </c>
    </row>
    <row r="13" spans="1:7" ht="13.5" x14ac:dyDescent="0.2">
      <c r="B13" s="138" t="s">
        <v>96</v>
      </c>
      <c r="C13" s="104">
        <f>SUM(C14:C17)</f>
        <v>299378.40934999997</v>
      </c>
      <c r="D13" s="104">
        <f>SUM(D14:D17)</f>
        <v>326141.32063000003</v>
      </c>
      <c r="E13" s="104">
        <f>SUM(E14:E17)</f>
        <v>362446.14160000003</v>
      </c>
      <c r="F13" s="115">
        <f>SUM(F14:F17)</f>
        <v>325660</v>
      </c>
      <c r="G13" s="72">
        <f t="shared" si="0"/>
        <v>0.34592240486496534</v>
      </c>
    </row>
    <row r="14" spans="1:7" ht="13.5" x14ac:dyDescent="0.2">
      <c r="B14" s="139" t="s">
        <v>92</v>
      </c>
      <c r="C14" s="116">
        <v>137460.92869</v>
      </c>
      <c r="D14" s="116">
        <v>169933.97990999999</v>
      </c>
      <c r="E14" s="116">
        <v>199091</v>
      </c>
      <c r="F14" s="117">
        <v>161222</v>
      </c>
      <c r="G14" s="73">
        <f t="shared" si="0"/>
        <v>0.17125315346416337</v>
      </c>
    </row>
    <row r="15" spans="1:7" ht="13.5" x14ac:dyDescent="0.2">
      <c r="B15" s="139" t="s">
        <v>97</v>
      </c>
      <c r="C15" s="116">
        <v>130336.4</v>
      </c>
      <c r="D15" s="116">
        <v>123472.05232</v>
      </c>
      <c r="E15" s="116">
        <v>137084.19157</v>
      </c>
      <c r="F15" s="117">
        <v>112100</v>
      </c>
      <c r="G15" s="73">
        <f t="shared" si="0"/>
        <v>0.11907480680882704</v>
      </c>
    </row>
    <row r="16" spans="1:7" ht="13.5" x14ac:dyDescent="0.2">
      <c r="B16" s="139" t="s">
        <v>131</v>
      </c>
      <c r="C16" s="122">
        <v>0</v>
      </c>
      <c r="D16" s="122">
        <v>0</v>
      </c>
      <c r="E16" s="122">
        <v>0</v>
      </c>
      <c r="F16" s="117">
        <v>22386</v>
      </c>
      <c r="G16" s="73">
        <f t="shared" si="0"/>
        <v>2.3778845898504927E-2</v>
      </c>
    </row>
    <row r="17" spans="2:7" ht="13.5" x14ac:dyDescent="0.2">
      <c r="B17" s="139" t="s">
        <v>98</v>
      </c>
      <c r="C17" s="116">
        <v>31581.080659999996</v>
      </c>
      <c r="D17" s="116">
        <v>32735.288400000001</v>
      </c>
      <c r="E17" s="116">
        <v>26270.950030000004</v>
      </c>
      <c r="F17" s="117">
        <v>29952</v>
      </c>
      <c r="G17" s="73">
        <f t="shared" si="0"/>
        <v>3.1815598693470004E-2</v>
      </c>
    </row>
    <row r="18" spans="2:7" ht="13.5" x14ac:dyDescent="0.2">
      <c r="B18" s="127" t="s">
        <v>99</v>
      </c>
      <c r="C18" s="104">
        <v>45094</v>
      </c>
      <c r="D18" s="104">
        <v>59231</v>
      </c>
      <c r="E18" s="104">
        <v>60536</v>
      </c>
      <c r="F18" s="115">
        <v>75237</v>
      </c>
      <c r="G18" s="72">
        <f t="shared" si="0"/>
        <v>7.9918209097910087E-2</v>
      </c>
    </row>
    <row r="19" spans="2:7" ht="13.5" x14ac:dyDescent="0.2">
      <c r="B19" s="139" t="s">
        <v>100</v>
      </c>
      <c r="C19" s="116">
        <v>10300</v>
      </c>
      <c r="D19" s="116">
        <v>19416</v>
      </c>
      <c r="E19" s="116">
        <v>19795</v>
      </c>
      <c r="F19" s="117">
        <v>19654</v>
      </c>
      <c r="G19" s="73">
        <f t="shared" si="0"/>
        <v>2.0876862203574369E-2</v>
      </c>
    </row>
    <row r="20" spans="2:7" ht="13.5" x14ac:dyDescent="0.2">
      <c r="B20" s="127" t="s">
        <v>101</v>
      </c>
      <c r="C20" s="104">
        <v>43669</v>
      </c>
      <c r="D20" s="104">
        <v>57457</v>
      </c>
      <c r="E20" s="104">
        <v>65319</v>
      </c>
      <c r="F20" s="115">
        <v>78726</v>
      </c>
      <c r="G20" s="72">
        <f t="shared" si="0"/>
        <v>8.3624292960140206E-2</v>
      </c>
    </row>
    <row r="21" spans="2:7" ht="14.25" thickBot="1" x14ac:dyDescent="0.25">
      <c r="B21" s="127" t="s">
        <v>102</v>
      </c>
      <c r="C21" s="104">
        <v>67458</v>
      </c>
      <c r="D21" s="104">
        <v>66670</v>
      </c>
      <c r="E21" s="104">
        <v>65947.506580000001</v>
      </c>
      <c r="F21" s="115">
        <v>65457</v>
      </c>
      <c r="G21" s="72">
        <f t="shared" si="0"/>
        <v>6.9529702312982972E-2</v>
      </c>
    </row>
    <row r="22" spans="2:7" ht="13.5" x14ac:dyDescent="0.2">
      <c r="B22" s="140" t="s">
        <v>103</v>
      </c>
      <c r="C22" s="118">
        <f t="shared" ref="C22:G22" si="1">C5+C18+C20+C21</f>
        <v>853166.09054</v>
      </c>
      <c r="D22" s="118">
        <f t="shared" si="1"/>
        <v>904155.13546999998</v>
      </c>
      <c r="E22" s="118">
        <f t="shared" si="1"/>
        <v>993011.79217000003</v>
      </c>
      <c r="F22" s="119">
        <f>F5+F18+F20+F21</f>
        <v>941425</v>
      </c>
      <c r="G22" s="98">
        <f t="shared" si="1"/>
        <v>1</v>
      </c>
    </row>
    <row r="23" spans="2:7" ht="14.25" thickBot="1" x14ac:dyDescent="0.25">
      <c r="B23" s="141" t="s">
        <v>104</v>
      </c>
      <c r="C23" s="104">
        <v>166776</v>
      </c>
      <c r="D23" s="104">
        <v>144937</v>
      </c>
      <c r="E23" s="104">
        <v>162500</v>
      </c>
      <c r="F23" s="115">
        <v>115788</v>
      </c>
      <c r="G23" s="99" t="s">
        <v>7</v>
      </c>
    </row>
    <row r="24" spans="2:7" ht="14.25" thickBot="1" x14ac:dyDescent="0.25">
      <c r="B24" s="129" t="s">
        <v>1</v>
      </c>
      <c r="C24" s="120">
        <f t="shared" ref="C24:E24" si="2">C22+C23</f>
        <v>1019942.09054</v>
      </c>
      <c r="D24" s="120">
        <f t="shared" si="2"/>
        <v>1049092.1354700001</v>
      </c>
      <c r="E24" s="120">
        <f t="shared" si="2"/>
        <v>1155511.79217</v>
      </c>
      <c r="F24" s="121">
        <f>F22+F23</f>
        <v>1057213</v>
      </c>
      <c r="G24" s="74" t="s">
        <v>7</v>
      </c>
    </row>
    <row r="25" spans="2:7" ht="9" customHeight="1" x14ac:dyDescent="0.2">
      <c r="B25" s="31"/>
      <c r="C25" s="41"/>
      <c r="D25" s="41"/>
      <c r="E25" s="41"/>
      <c r="F25" s="147"/>
      <c r="G25" s="147"/>
    </row>
    <row r="26" spans="2:7" ht="13.5" x14ac:dyDescent="0.2">
      <c r="B26" s="33"/>
      <c r="C26" s="33"/>
      <c r="D26" s="33"/>
      <c r="E26" s="33"/>
      <c r="F26" s="41"/>
      <c r="G26" s="131" t="s">
        <v>63</v>
      </c>
    </row>
    <row r="29" spans="2:7" ht="14.25" thickBot="1" x14ac:dyDescent="0.25">
      <c r="B29" s="78" t="s">
        <v>90</v>
      </c>
      <c r="C29" s="48" t="s">
        <v>6</v>
      </c>
      <c r="D29" s="48" t="s">
        <v>3</v>
      </c>
      <c r="E29" s="48" t="s">
        <v>4</v>
      </c>
      <c r="F29" s="148" t="s">
        <v>19</v>
      </c>
      <c r="G29" s="149"/>
    </row>
    <row r="30" spans="2:7" ht="13.5" x14ac:dyDescent="0.2">
      <c r="B30" s="142" t="s">
        <v>8</v>
      </c>
      <c r="C30" s="116">
        <v>1754.3277499999999</v>
      </c>
      <c r="D30" s="116">
        <v>1787.1552300000001</v>
      </c>
      <c r="E30" s="116">
        <v>3072.0408299999999</v>
      </c>
      <c r="F30" s="117">
        <v>6342</v>
      </c>
      <c r="G30" s="73">
        <f>F30/$F$36</f>
        <v>8.7838726878622722E-3</v>
      </c>
    </row>
    <row r="31" spans="2:7" ht="13.5" x14ac:dyDescent="0.2">
      <c r="B31" s="142" t="s">
        <v>9</v>
      </c>
      <c r="C31" s="116">
        <v>11947.257000000001</v>
      </c>
      <c r="D31" s="116">
        <v>3784.2071800000003</v>
      </c>
      <c r="E31" s="116">
        <v>7381.8541700000005</v>
      </c>
      <c r="F31" s="117">
        <v>10093</v>
      </c>
      <c r="G31" s="73">
        <f t="shared" ref="G31:G35" si="3">F31/$F$36</f>
        <v>1.397912756836864E-2</v>
      </c>
    </row>
    <row r="32" spans="2:7" ht="13.5" x14ac:dyDescent="0.2">
      <c r="B32" s="142" t="s">
        <v>10</v>
      </c>
      <c r="C32" s="116">
        <v>317688.88505000004</v>
      </c>
      <c r="D32" s="116">
        <v>301027.18516999995</v>
      </c>
      <c r="E32" s="116">
        <v>353119.78262999991</v>
      </c>
      <c r="F32" s="117">
        <v>296736</v>
      </c>
      <c r="G32" s="73">
        <f t="shared" si="3"/>
        <v>0.41098884356756532</v>
      </c>
    </row>
    <row r="33" spans="2:7" ht="13.5" x14ac:dyDescent="0.2">
      <c r="B33" s="142" t="s">
        <v>11</v>
      </c>
      <c r="C33" s="116">
        <v>259911.57834000001</v>
      </c>
      <c r="D33" s="116">
        <v>354378.54846999998</v>
      </c>
      <c r="E33" s="116">
        <v>380743.04191000003</v>
      </c>
      <c r="F33" s="117">
        <v>363123</v>
      </c>
      <c r="G33" s="73">
        <f t="shared" si="3"/>
        <v>0.50293696027035828</v>
      </c>
    </row>
    <row r="34" spans="2:7" ht="13.5" x14ac:dyDescent="0.2">
      <c r="B34" s="142" t="s">
        <v>105</v>
      </c>
      <c r="C34" s="116">
        <v>88362</v>
      </c>
      <c r="D34" s="116">
        <v>21373.307949999999</v>
      </c>
      <c r="E34" s="116">
        <v>26532.45349</v>
      </c>
      <c r="F34" s="117">
        <v>27990</v>
      </c>
      <c r="G34" s="73">
        <f t="shared" si="3"/>
        <v>3.876704454955298E-2</v>
      </c>
    </row>
    <row r="35" spans="2:7" ht="14.25" thickBot="1" x14ac:dyDescent="0.25">
      <c r="B35" s="79" t="s">
        <v>106</v>
      </c>
      <c r="C35" s="116">
        <v>17281</v>
      </c>
      <c r="D35" s="116">
        <v>38446.88670000001</v>
      </c>
      <c r="E35" s="116">
        <v>30360</v>
      </c>
      <c r="F35" s="117">
        <v>17721</v>
      </c>
      <c r="G35" s="73">
        <f t="shared" si="3"/>
        <v>2.4544151356292548E-2</v>
      </c>
    </row>
    <row r="36" spans="2:7" ht="14.25" thickBot="1" x14ac:dyDescent="0.25">
      <c r="B36" s="129" t="s">
        <v>1</v>
      </c>
      <c r="C36" s="120">
        <f>SUM(C30:C35)</f>
        <v>696945.04814000009</v>
      </c>
      <c r="D36" s="120">
        <f t="shared" ref="D36:E36" si="4">SUM(D30:D35)</f>
        <v>720797.29070000001</v>
      </c>
      <c r="E36" s="120">
        <f t="shared" si="4"/>
        <v>801209.17302999995</v>
      </c>
      <c r="F36" s="121">
        <f>SUM(F30:F35)</f>
        <v>722005</v>
      </c>
      <c r="G36" s="74">
        <f>SUM(G30:G35)</f>
        <v>1</v>
      </c>
    </row>
    <row r="37" spans="2:7" ht="9" customHeight="1" x14ac:dyDescent="0.2">
      <c r="B37" s="31"/>
      <c r="C37" s="41"/>
      <c r="D37" s="41"/>
      <c r="E37" s="41"/>
      <c r="F37" s="147"/>
      <c r="G37" s="147"/>
    </row>
    <row r="38" spans="2:7" ht="13.5" x14ac:dyDescent="0.2">
      <c r="G38" s="131" t="s">
        <v>63</v>
      </c>
    </row>
    <row r="41" spans="2:7" ht="14.25" thickBot="1" x14ac:dyDescent="0.25">
      <c r="B41" s="78" t="s">
        <v>99</v>
      </c>
      <c r="C41" s="48" t="s">
        <v>6</v>
      </c>
      <c r="D41" s="48" t="s">
        <v>3</v>
      </c>
      <c r="E41" s="48" t="s">
        <v>4</v>
      </c>
      <c r="F41" s="148" t="s">
        <v>19</v>
      </c>
      <c r="G41" s="149"/>
    </row>
    <row r="42" spans="2:7" ht="13.5" x14ac:dyDescent="0.2">
      <c r="B42" s="142" t="s">
        <v>107</v>
      </c>
      <c r="C42" s="116">
        <v>10300</v>
      </c>
      <c r="D42" s="116">
        <v>32761.487000000001</v>
      </c>
      <c r="E42" s="116">
        <v>20803</v>
      </c>
      <c r="F42" s="117">
        <v>43352</v>
      </c>
      <c r="G42" s="73">
        <f>F42/$F$53</f>
        <v>0.57620585616119724</v>
      </c>
    </row>
    <row r="43" spans="2:7" ht="13.5" x14ac:dyDescent="0.2">
      <c r="B43" s="143" t="s">
        <v>100</v>
      </c>
      <c r="C43" s="116">
        <v>10300</v>
      </c>
      <c r="D43" s="116">
        <v>19416.487000000001</v>
      </c>
      <c r="E43" s="116">
        <v>19795</v>
      </c>
      <c r="F43" s="117">
        <v>19654</v>
      </c>
      <c r="G43" s="73">
        <f t="shared" ref="G43:G52" si="5">F43/$F$53</f>
        <v>0.26122785331685205</v>
      </c>
    </row>
    <row r="44" spans="2:7" ht="13.5" x14ac:dyDescent="0.2">
      <c r="B44" s="142" t="s">
        <v>108</v>
      </c>
      <c r="C44" s="116">
        <v>9142</v>
      </c>
      <c r="D44" s="116">
        <v>5850.9550600000002</v>
      </c>
      <c r="E44" s="116">
        <v>18320</v>
      </c>
      <c r="F44" s="117">
        <v>5778</v>
      </c>
      <c r="G44" s="73">
        <f t="shared" si="5"/>
        <v>7.6797320467323252E-2</v>
      </c>
    </row>
    <row r="45" spans="2:7" ht="13.5" x14ac:dyDescent="0.2">
      <c r="B45" s="142" t="s">
        <v>109</v>
      </c>
      <c r="C45" s="116">
        <v>5385</v>
      </c>
      <c r="D45" s="116">
        <v>5567.7613636297901</v>
      </c>
      <c r="E45" s="116">
        <v>5304</v>
      </c>
      <c r="F45" s="117">
        <v>5461</v>
      </c>
      <c r="G45" s="73">
        <f t="shared" si="5"/>
        <v>7.258396799447081E-2</v>
      </c>
    </row>
    <row r="46" spans="2:7" ht="13.5" x14ac:dyDescent="0.2">
      <c r="B46" s="142" t="s">
        <v>12</v>
      </c>
      <c r="C46" s="116">
        <v>4490</v>
      </c>
      <c r="D46" s="116">
        <v>4964.6156432375501</v>
      </c>
      <c r="E46" s="116">
        <v>6155</v>
      </c>
      <c r="F46" s="117">
        <v>10515</v>
      </c>
      <c r="G46" s="73">
        <f t="shared" si="5"/>
        <v>0.13975836357111526</v>
      </c>
    </row>
    <row r="47" spans="2:7" ht="13.5" x14ac:dyDescent="0.2">
      <c r="B47" s="142" t="s">
        <v>110</v>
      </c>
      <c r="C47" s="116">
        <v>1336</v>
      </c>
      <c r="D47" s="116">
        <v>3889.5391</v>
      </c>
      <c r="E47" s="116">
        <v>1302</v>
      </c>
      <c r="F47" s="117">
        <v>1410</v>
      </c>
      <c r="G47" s="73">
        <f t="shared" si="5"/>
        <v>1.8740779137924161E-2</v>
      </c>
    </row>
    <row r="48" spans="2:7" ht="13.5" x14ac:dyDescent="0.2">
      <c r="B48" s="142" t="s">
        <v>111</v>
      </c>
      <c r="C48" s="116">
        <v>4544</v>
      </c>
      <c r="D48" s="116">
        <v>3702.924</v>
      </c>
      <c r="E48" s="116">
        <v>3394</v>
      </c>
      <c r="F48" s="123">
        <v>0</v>
      </c>
      <c r="G48" s="73">
        <f t="shared" si="5"/>
        <v>0</v>
      </c>
    </row>
    <row r="49" spans="2:7" ht="13.5" x14ac:dyDescent="0.2">
      <c r="B49" s="142" t="s">
        <v>112</v>
      </c>
      <c r="C49" s="116">
        <v>3986</v>
      </c>
      <c r="D49" s="116">
        <v>1169.0634</v>
      </c>
      <c r="E49" s="122">
        <v>0</v>
      </c>
      <c r="F49" s="123">
        <v>1454</v>
      </c>
      <c r="G49" s="73">
        <f t="shared" si="5"/>
        <v>1.932559777768917E-2</v>
      </c>
    </row>
    <row r="50" spans="2:7" ht="13.5" x14ac:dyDescent="0.2">
      <c r="B50" s="142" t="s">
        <v>113</v>
      </c>
      <c r="C50" s="116">
        <v>4202</v>
      </c>
      <c r="D50" s="116">
        <v>1159.7223603899999</v>
      </c>
      <c r="E50" s="116">
        <v>3612</v>
      </c>
      <c r="F50" s="117">
        <v>5293</v>
      </c>
      <c r="G50" s="73">
        <f t="shared" si="5"/>
        <v>7.0351024097186229E-2</v>
      </c>
    </row>
    <row r="51" spans="2:7" ht="13.5" x14ac:dyDescent="0.2">
      <c r="B51" s="142" t="s">
        <v>114</v>
      </c>
      <c r="C51" s="116">
        <v>1709</v>
      </c>
      <c r="D51" s="116">
        <v>164.73599999999999</v>
      </c>
      <c r="E51" s="116">
        <v>1137</v>
      </c>
      <c r="F51" s="117">
        <v>1333</v>
      </c>
      <c r="G51" s="73">
        <f t="shared" si="5"/>
        <v>1.7717346518335394E-2</v>
      </c>
    </row>
    <row r="52" spans="2:7" ht="14.25" thickBot="1" x14ac:dyDescent="0.25">
      <c r="B52" s="79" t="s">
        <v>115</v>
      </c>
      <c r="C52" s="122">
        <v>0</v>
      </c>
      <c r="D52" s="122">
        <v>0</v>
      </c>
      <c r="E52" s="116">
        <v>509</v>
      </c>
      <c r="F52" s="117">
        <v>641</v>
      </c>
      <c r="G52" s="73">
        <f t="shared" si="5"/>
        <v>8.5197442747584305E-3</v>
      </c>
    </row>
    <row r="53" spans="2:7" ht="14.25" thickBot="1" x14ac:dyDescent="0.25">
      <c r="B53" s="129" t="s">
        <v>1</v>
      </c>
      <c r="C53" s="120">
        <f t="shared" ref="C53" si="6">SUM(C42,C44:C52)</f>
        <v>45094</v>
      </c>
      <c r="D53" s="120">
        <f>SUM(D42,D44:D52)</f>
        <v>59230.803927257337</v>
      </c>
      <c r="E53" s="120">
        <f t="shared" ref="E53:G53" si="7">SUM(E42,E44:E52)</f>
        <v>60536</v>
      </c>
      <c r="F53" s="121">
        <f t="shared" si="7"/>
        <v>75237</v>
      </c>
      <c r="G53" s="74">
        <f t="shared" si="7"/>
        <v>0.99999999999999989</v>
      </c>
    </row>
    <row r="54" spans="2:7" ht="9" customHeight="1" x14ac:dyDescent="0.2">
      <c r="B54" s="31"/>
      <c r="C54" s="41"/>
      <c r="D54" s="41"/>
      <c r="E54" s="41"/>
      <c r="F54" s="147"/>
      <c r="G54" s="147"/>
    </row>
    <row r="55" spans="2:7" ht="13.5" x14ac:dyDescent="0.2">
      <c r="G55" s="131" t="s">
        <v>63</v>
      </c>
    </row>
  </sheetData>
  <mergeCells count="6">
    <mergeCell ref="F54:G54"/>
    <mergeCell ref="F25:G25"/>
    <mergeCell ref="F4:G4"/>
    <mergeCell ref="F29:G29"/>
    <mergeCell ref="F41:G41"/>
    <mergeCell ref="F37:G37"/>
  </mergeCells>
  <hyperlinks>
    <hyperlink ref="A2" location="'Financial supplement&gt;&gt;&gt;'!A1" display="INDEX" xr:uid="{2327C051-3477-4BDF-9BD5-9809BAAF9967}"/>
  </hyperlinks>
  <pageMargins left="0.7" right="0.7" top="0.75" bottom="0.75" header="0.3" footer="0.3"/>
  <pageSetup paperSize="9" scale="79" orientation="portrait" r:id="rId1"/>
  <ignoredErrors>
    <ignoredError sqref="C13:F13 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  <vt:lpstr>'Balance sheet'!Área_de_impresión</vt:lpstr>
      <vt:lpstr>Motor!Área_de_impresión</vt:lpstr>
      <vt:lpstr>Other!Área_de_impresión</vt:lpstr>
      <vt:lpstr>'P&amp;L'!Área_de_impresión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2022-03-16T12:45:46Z</dcterms:modified>
</cp:coreProperties>
</file>