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1\9M 2021\3. Suplemento Financiero\"/>
    </mc:Choice>
  </mc:AlternateContent>
  <xr:revisionPtr revIDLastSave="0" documentId="13_ncr:1_{BB066E0A-8849-4C39-B9B4-01986AB34B8F}" xr6:coauthVersionLast="46" xr6:coauthVersionMax="46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Balance sheet" sheetId="24" r:id="rId2"/>
    <sheet name="P&amp;L" sheetId="25" r:id="rId3"/>
    <sheet name="Business lines" sheetId="13" r:id="rId4"/>
    <sheet name="Motor" sheetId="14" r:id="rId5"/>
    <sheet name="Home" sheetId="20" r:id="rId6"/>
    <sheet name="Health" sheetId="21" r:id="rId7"/>
    <sheet name="Other" sheetId="22" r:id="rId8"/>
    <sheet name="Investments" sheetId="19" r:id="rId9"/>
    <sheet name="Solvency" sheetId="23" r:id="rId10"/>
  </sheets>
  <externalReferences>
    <externalReference r:id="rId11"/>
    <externalReference r:id="rId12"/>
  </externalReferences>
  <definedNames>
    <definedName name="_IsComposite">[1]Participant!$G$15</definedName>
    <definedName name="_TS_">[1]P.Index!$F$40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9" l="1"/>
  <c r="F52" i="19"/>
  <c r="E52" i="19"/>
  <c r="D52" i="19"/>
  <c r="C52" i="19"/>
  <c r="G35" i="19"/>
  <c r="F35" i="19"/>
  <c r="E35" i="19"/>
  <c r="D35" i="19"/>
  <c r="C35" i="19"/>
  <c r="D21" i="19"/>
  <c r="D23" i="19" s="1"/>
  <c r="G13" i="19"/>
  <c r="F13" i="19"/>
  <c r="E13" i="19"/>
  <c r="D13" i="19"/>
  <c r="C13" i="19"/>
  <c r="G6" i="19"/>
  <c r="G5" i="19" s="1"/>
  <c r="G21" i="19" s="1"/>
  <c r="G23" i="19" s="1"/>
  <c r="F6" i="19"/>
  <c r="F5" i="19" s="1"/>
  <c r="F21" i="19" s="1"/>
  <c r="F23" i="19" s="1"/>
  <c r="E6" i="19"/>
  <c r="D6" i="19"/>
  <c r="C6" i="19"/>
  <c r="E5" i="19"/>
  <c r="E21" i="19" s="1"/>
  <c r="E23" i="19" s="1"/>
  <c r="D5" i="19"/>
  <c r="C5" i="19"/>
  <c r="C21" i="19" s="1"/>
  <c r="C23" i="19" s="1"/>
  <c r="N10" i="22"/>
  <c r="M10" i="22"/>
  <c r="C10" i="20"/>
  <c r="D10" i="20"/>
  <c r="E10" i="20"/>
  <c r="F10" i="20"/>
  <c r="G10" i="20"/>
  <c r="H10" i="20"/>
  <c r="I10" i="20"/>
  <c r="J10" i="20"/>
  <c r="J10" i="14"/>
  <c r="I10" i="14"/>
  <c r="H10" i="14"/>
  <c r="G10" i="14"/>
  <c r="F10" i="14"/>
  <c r="E10" i="14"/>
  <c r="D10" i="14"/>
  <c r="C10" i="14"/>
  <c r="T10" i="13"/>
  <c r="S10" i="13"/>
  <c r="R10" i="13"/>
  <c r="Q10" i="13"/>
  <c r="P10" i="13"/>
  <c r="O10" i="13"/>
  <c r="N10" i="13"/>
  <c r="M10" i="13"/>
  <c r="G26" i="23" l="1"/>
  <c r="G25" i="23"/>
  <c r="G20" i="23"/>
  <c r="G9" i="23"/>
  <c r="F26" i="23"/>
  <c r="F25" i="23"/>
  <c r="F20" i="23"/>
  <c r="F9" i="23"/>
  <c r="J18" i="21"/>
  <c r="I18" i="21"/>
  <c r="H18" i="21"/>
  <c r="G18" i="21"/>
  <c r="F18" i="21"/>
  <c r="J17" i="21"/>
  <c r="I17" i="21"/>
  <c r="H17" i="21"/>
  <c r="G17" i="21"/>
  <c r="F17" i="21"/>
  <c r="J16" i="21"/>
  <c r="I16" i="21"/>
  <c r="H16" i="21"/>
  <c r="G16" i="21"/>
  <c r="F16" i="21"/>
  <c r="J10" i="21"/>
  <c r="I10" i="21"/>
  <c r="H10" i="21"/>
  <c r="G10" i="21"/>
  <c r="F10" i="21"/>
  <c r="J18" i="20"/>
  <c r="I18" i="20"/>
  <c r="H18" i="20"/>
  <c r="G18" i="20"/>
  <c r="F18" i="20"/>
  <c r="J17" i="20"/>
  <c r="I17" i="20"/>
  <c r="H17" i="20"/>
  <c r="G17" i="20"/>
  <c r="F17" i="20"/>
  <c r="J16" i="20"/>
  <c r="I16" i="20"/>
  <c r="H16" i="20"/>
  <c r="G16" i="20"/>
  <c r="F16" i="20"/>
  <c r="J18" i="14"/>
  <c r="I18" i="14"/>
  <c r="H18" i="14"/>
  <c r="G18" i="14"/>
  <c r="F18" i="14"/>
  <c r="J17" i="14"/>
  <c r="I17" i="14"/>
  <c r="H17" i="14"/>
  <c r="G17" i="14"/>
  <c r="F17" i="14"/>
  <c r="J16" i="14"/>
  <c r="I16" i="14"/>
  <c r="H16" i="14"/>
  <c r="G16" i="14"/>
  <c r="F16" i="14"/>
  <c r="H19" i="22"/>
  <c r="G19" i="22"/>
  <c r="F19" i="22"/>
  <c r="H18" i="22"/>
  <c r="G18" i="22"/>
  <c r="F18" i="22"/>
  <c r="H17" i="22"/>
  <c r="G17" i="22"/>
  <c r="F17" i="22"/>
  <c r="J11" i="22"/>
  <c r="I11" i="22"/>
  <c r="H11" i="22"/>
  <c r="G11" i="22"/>
  <c r="F11" i="22"/>
  <c r="N9" i="22"/>
  <c r="M9" i="22"/>
  <c r="N8" i="22"/>
  <c r="M8" i="22"/>
  <c r="N7" i="22"/>
  <c r="M7" i="22"/>
  <c r="N6" i="22"/>
  <c r="M6" i="22"/>
  <c r="N5" i="22"/>
  <c r="M5" i="22"/>
  <c r="N9" i="21"/>
  <c r="N10" i="21" s="1"/>
  <c r="M9" i="21"/>
  <c r="N8" i="21"/>
  <c r="M8" i="21"/>
  <c r="N7" i="21"/>
  <c r="M7" i="21"/>
  <c r="N6" i="21"/>
  <c r="M6" i="21"/>
  <c r="M10" i="21" s="1"/>
  <c r="N5" i="21"/>
  <c r="M5" i="21"/>
  <c r="N9" i="20"/>
  <c r="M9" i="20"/>
  <c r="N8" i="20"/>
  <c r="M8" i="20"/>
  <c r="N7" i="20"/>
  <c r="M7" i="20"/>
  <c r="N6" i="20"/>
  <c r="M6" i="20"/>
  <c r="N5" i="20"/>
  <c r="M5" i="20"/>
  <c r="N9" i="14"/>
  <c r="M9" i="14"/>
  <c r="N8" i="14"/>
  <c r="M8" i="14"/>
  <c r="N7" i="14"/>
  <c r="M7" i="14"/>
  <c r="M18" i="14" s="1"/>
  <c r="N6" i="14"/>
  <c r="M6" i="14"/>
  <c r="N5" i="14"/>
  <c r="M5" i="14"/>
  <c r="AE10" i="13"/>
  <c r="AE9" i="13"/>
  <c r="AE8" i="13"/>
  <c r="AE7" i="13"/>
  <c r="AE6" i="13"/>
  <c r="J10" i="13"/>
  <c r="I10" i="13"/>
  <c r="H10" i="13"/>
  <c r="G10" i="13"/>
  <c r="F10" i="13"/>
  <c r="J13" i="25"/>
  <c r="I13" i="25"/>
  <c r="H13" i="25"/>
  <c r="G13" i="25"/>
  <c r="F13" i="25"/>
  <c r="F14" i="25" s="1"/>
  <c r="F16" i="25" s="1"/>
  <c r="F18" i="25" s="1"/>
  <c r="J10" i="25"/>
  <c r="I10" i="25"/>
  <c r="I14" i="25" s="1"/>
  <c r="H10" i="25"/>
  <c r="G10" i="25"/>
  <c r="F10" i="25"/>
  <c r="H26" i="25"/>
  <c r="G26" i="25"/>
  <c r="F26" i="25"/>
  <c r="H25" i="25"/>
  <c r="G25" i="25"/>
  <c r="F25" i="25"/>
  <c r="H24" i="25"/>
  <c r="G24" i="25"/>
  <c r="F24" i="25"/>
  <c r="M17" i="25"/>
  <c r="L17" i="25"/>
  <c r="M15" i="25"/>
  <c r="L15" i="25"/>
  <c r="L13" i="25"/>
  <c r="M12" i="25"/>
  <c r="L12" i="25"/>
  <c r="M11" i="25"/>
  <c r="L11" i="25"/>
  <c r="M9" i="25"/>
  <c r="L9" i="25"/>
  <c r="M8" i="25"/>
  <c r="L8" i="25"/>
  <c r="M7" i="25"/>
  <c r="L7" i="25"/>
  <c r="M6" i="25"/>
  <c r="L6" i="25"/>
  <c r="M5" i="25"/>
  <c r="L5" i="25"/>
  <c r="G33" i="24"/>
  <c r="G30" i="24"/>
  <c r="G34" i="24" s="1"/>
  <c r="G24" i="24"/>
  <c r="G16" i="24"/>
  <c r="G11" i="24"/>
  <c r="G6" i="24"/>
  <c r="F33" i="24"/>
  <c r="F34" i="24" s="1"/>
  <c r="F30" i="24"/>
  <c r="F24" i="24"/>
  <c r="F16" i="24"/>
  <c r="F11" i="24"/>
  <c r="F6" i="24"/>
  <c r="N18" i="22" l="1"/>
  <c r="M11" i="22"/>
  <c r="N11" i="22"/>
  <c r="N16" i="14"/>
  <c r="N17" i="14"/>
  <c r="M18" i="21"/>
  <c r="N18" i="21"/>
  <c r="M17" i="21"/>
  <c r="N17" i="21"/>
  <c r="N18" i="20"/>
  <c r="M10" i="20"/>
  <c r="M18" i="20"/>
  <c r="N16" i="20"/>
  <c r="M17" i="20"/>
  <c r="N18" i="14"/>
  <c r="M17" i="14"/>
  <c r="M10" i="14"/>
  <c r="N10" i="14"/>
  <c r="M19" i="22"/>
  <c r="N19" i="22"/>
  <c r="M18" i="22"/>
  <c r="M17" i="22"/>
  <c r="N17" i="22"/>
  <c r="M16" i="21"/>
  <c r="N16" i="21"/>
  <c r="N10" i="20"/>
  <c r="M16" i="20"/>
  <c r="N17" i="20"/>
  <c r="M16" i="14"/>
  <c r="L10" i="25"/>
  <c r="G14" i="25"/>
  <c r="G16" i="25" s="1"/>
  <c r="G18" i="25" s="1"/>
  <c r="H14" i="25"/>
  <c r="H16" i="25" s="1"/>
  <c r="H18" i="25" s="1"/>
  <c r="L25" i="25"/>
  <c r="M10" i="25"/>
  <c r="J14" i="25"/>
  <c r="M14" i="25" s="1"/>
  <c r="L14" i="25"/>
  <c r="I16" i="25"/>
  <c r="M25" i="25"/>
  <c r="M13" i="25"/>
  <c r="L26" i="25"/>
  <c r="M26" i="25"/>
  <c r="L24" i="25"/>
  <c r="M24" i="25"/>
  <c r="H17" i="19"/>
  <c r="J16" i="25" l="1"/>
  <c r="J18" i="25"/>
  <c r="M18" i="25" s="1"/>
  <c r="M16" i="25"/>
  <c r="I18" i="25"/>
  <c r="L18" i="25" s="1"/>
  <c r="L16" i="25"/>
  <c r="H5" i="19"/>
  <c r="H13" i="19"/>
  <c r="H12" i="19"/>
  <c r="H15" i="19"/>
  <c r="H11" i="19"/>
  <c r="H19" i="19"/>
  <c r="H18" i="19"/>
  <c r="H9" i="19"/>
  <c r="H8" i="19"/>
  <c r="H16" i="19"/>
  <c r="H6" i="19"/>
  <c r="H20" i="19"/>
  <c r="H7" i="19"/>
  <c r="H10" i="19"/>
  <c r="H14" i="19"/>
  <c r="H51" i="19"/>
  <c r="H30" i="19"/>
  <c r="H21" i="19" l="1"/>
  <c r="H31" i="19"/>
  <c r="H46" i="19"/>
  <c r="H50" i="19"/>
  <c r="H45" i="19"/>
  <c r="H43" i="19"/>
  <c r="H42" i="19"/>
  <c r="H29" i="19"/>
  <c r="H47" i="19"/>
  <c r="H49" i="19"/>
  <c r="H34" i="19"/>
  <c r="H33" i="19"/>
  <c r="H48" i="19"/>
  <c r="H41" i="19"/>
  <c r="H44" i="19"/>
  <c r="H32" i="19"/>
  <c r="E33" i="24"/>
  <c r="E24" i="24"/>
  <c r="E30" i="24" s="1"/>
  <c r="E11" i="24"/>
  <c r="E6" i="24"/>
  <c r="E16" i="24" s="1"/>
  <c r="E34" i="24" l="1"/>
  <c r="I26" i="25" l="1"/>
  <c r="E26" i="25"/>
  <c r="D26" i="25"/>
  <c r="C26" i="25"/>
  <c r="I25" i="25"/>
  <c r="E25" i="25"/>
  <c r="D25" i="25"/>
  <c r="C25" i="25"/>
  <c r="I24" i="25"/>
  <c r="E24" i="25"/>
  <c r="D24" i="25"/>
  <c r="C24" i="25"/>
  <c r="E22" i="23" l="1"/>
  <c r="C25" i="23" l="1"/>
  <c r="D26" i="23"/>
  <c r="C26" i="23"/>
  <c r="E26" i="23"/>
  <c r="C20" i="23"/>
  <c r="D20" i="23"/>
  <c r="E20" i="23"/>
  <c r="D25" i="23" l="1"/>
  <c r="E25" i="23"/>
  <c r="D33" i="24" l="1"/>
  <c r="C33" i="24"/>
  <c r="D24" i="24"/>
  <c r="D30" i="24" s="1"/>
  <c r="C24" i="24"/>
  <c r="C30" i="24" s="1"/>
  <c r="C34" i="24" s="1"/>
  <c r="D11" i="24"/>
  <c r="C11" i="24"/>
  <c r="D6" i="24"/>
  <c r="C6" i="24"/>
  <c r="C16" i="24" s="1"/>
  <c r="E13" i="25"/>
  <c r="D13" i="25"/>
  <c r="C13" i="25"/>
  <c r="E10" i="25"/>
  <c r="D10" i="25"/>
  <c r="C10" i="25"/>
  <c r="C14" i="25" l="1"/>
  <c r="C16" i="25" s="1"/>
  <c r="C18" i="25" s="1"/>
  <c r="D14" i="25"/>
  <c r="D16" i="25" s="1"/>
  <c r="D18" i="25" s="1"/>
  <c r="D16" i="24"/>
  <c r="D34" i="24"/>
  <c r="E14" i="25"/>
  <c r="E16" i="25" s="1"/>
  <c r="E18" i="25" s="1"/>
  <c r="D38" i="24" l="1"/>
  <c r="C38" i="24"/>
  <c r="E38" i="24"/>
  <c r="G38" i="24" l="1"/>
  <c r="I19" i="22"/>
  <c r="I18" i="22"/>
  <c r="I17" i="22"/>
  <c r="E10" i="13"/>
  <c r="D10" i="13"/>
  <c r="C10" i="13"/>
  <c r="U9" i="13"/>
  <c r="K9" i="13"/>
  <c r="U8" i="13"/>
  <c r="K8" i="13"/>
  <c r="U7" i="13"/>
  <c r="K7" i="13"/>
  <c r="U6" i="13"/>
  <c r="K10" i="13" l="1"/>
  <c r="J17" i="22"/>
  <c r="J19" i="22"/>
  <c r="J18" i="22"/>
  <c r="K6" i="13"/>
  <c r="U10" i="13"/>
  <c r="J25" i="25" l="1"/>
  <c r="J24" i="25" l="1"/>
  <c r="J26" i="25"/>
  <c r="H52" i="19" l="1"/>
  <c r="H35" i="19"/>
  <c r="E19" i="22" l="1"/>
  <c r="D19" i="22"/>
  <c r="C19" i="22"/>
  <c r="K18" i="22"/>
  <c r="E18" i="22"/>
  <c r="D18" i="22"/>
  <c r="C18" i="22"/>
  <c r="E17" i="22"/>
  <c r="D17" i="22"/>
  <c r="C17" i="22"/>
  <c r="E11" i="22"/>
  <c r="D11" i="22"/>
  <c r="C11" i="22"/>
  <c r="K9" i="22"/>
  <c r="K8" i="22"/>
  <c r="K7" i="22"/>
  <c r="K6" i="22"/>
  <c r="K5" i="22"/>
  <c r="E18" i="21"/>
  <c r="D18" i="21"/>
  <c r="C18" i="21"/>
  <c r="K17" i="21"/>
  <c r="E17" i="21"/>
  <c r="D17" i="21"/>
  <c r="C17" i="21"/>
  <c r="K16" i="21"/>
  <c r="E16" i="21"/>
  <c r="D16" i="21"/>
  <c r="C16" i="21"/>
  <c r="E10" i="21"/>
  <c r="D10" i="21"/>
  <c r="C10" i="21"/>
  <c r="K9" i="21"/>
  <c r="K8" i="21"/>
  <c r="K7" i="21"/>
  <c r="K6" i="21"/>
  <c r="K5" i="21"/>
  <c r="E18" i="20"/>
  <c r="D18" i="20"/>
  <c r="C18" i="20"/>
  <c r="E17" i="20"/>
  <c r="D17" i="20"/>
  <c r="C17" i="20"/>
  <c r="K16" i="20"/>
  <c r="E16" i="20"/>
  <c r="D16" i="20"/>
  <c r="C16" i="20"/>
  <c r="K9" i="20"/>
  <c r="K8" i="20"/>
  <c r="K7" i="20"/>
  <c r="K6" i="20"/>
  <c r="K5" i="20"/>
  <c r="K18" i="14"/>
  <c r="E18" i="14"/>
  <c r="D18" i="14"/>
  <c r="C18" i="14"/>
  <c r="E17" i="14"/>
  <c r="D17" i="14"/>
  <c r="C17" i="14"/>
  <c r="E16" i="14"/>
  <c r="D16" i="14"/>
  <c r="C16" i="14"/>
  <c r="K10" i="14"/>
  <c r="K9" i="14"/>
  <c r="K8" i="14"/>
  <c r="K7" i="14"/>
  <c r="K6" i="14"/>
  <c r="K5" i="14"/>
  <c r="K17" i="14" l="1"/>
  <c r="K17" i="22"/>
  <c r="K19" i="22"/>
  <c r="K11" i="22"/>
  <c r="K18" i="21"/>
  <c r="K10" i="21"/>
  <c r="K10" i="20"/>
  <c r="K17" i="20"/>
  <c r="K16" i="14"/>
  <c r="K18" i="20"/>
</calcChain>
</file>

<file path=xl/sharedStrings.xml><?xml version="1.0" encoding="utf-8"?>
<sst xmlns="http://schemas.openxmlformats.org/spreadsheetml/2006/main" count="368" uniqueCount="129">
  <si>
    <t>TECHNICAL RESULT</t>
  </si>
  <si>
    <t>COMBINED RATIO</t>
  </si>
  <si>
    <t>% var.</t>
  </si>
  <si>
    <t>Motor</t>
  </si>
  <si>
    <t>Home</t>
  </si>
  <si>
    <t>Health</t>
  </si>
  <si>
    <t>Other</t>
  </si>
  <si>
    <t>TOTAL</t>
  </si>
  <si>
    <t>MOTOR</t>
  </si>
  <si>
    <t>Claims for the year, net of reinsurance</t>
  </si>
  <si>
    <t>Net operating expenses</t>
  </si>
  <si>
    <t>Other technical income and expenses</t>
  </si>
  <si>
    <t>var. p.p.</t>
  </si>
  <si>
    <t>Loss ratio</t>
  </si>
  <si>
    <t>Expense ratio</t>
  </si>
  <si>
    <t>HOME</t>
  </si>
  <si>
    <t>HEALTH</t>
  </si>
  <si>
    <t>12M 2019</t>
  </si>
  <si>
    <t>12M 2020</t>
  </si>
  <si>
    <t>INVESTMENT PORTFOLIO</t>
  </si>
  <si>
    <t>CASH &amp; CASH EQUIVALENTS</t>
  </si>
  <si>
    <t>FIXED INCOME</t>
  </si>
  <si>
    <t>Spain</t>
  </si>
  <si>
    <t>Italy</t>
  </si>
  <si>
    <t>Portugal</t>
  </si>
  <si>
    <t>Norway</t>
  </si>
  <si>
    <t>United States</t>
  </si>
  <si>
    <t>Rest of Europe</t>
  </si>
  <si>
    <t>Rest of World</t>
  </si>
  <si>
    <t>SHARES</t>
  </si>
  <si>
    <t>MUTUAL FUNDS</t>
  </si>
  <si>
    <t>ASSETS</t>
  </si>
  <si>
    <t>CASH AND CASH EQUIVALENTS</t>
  </si>
  <si>
    <t>Equity investments</t>
  </si>
  <si>
    <t>LOANS AND RECEIVABLES</t>
  </si>
  <si>
    <t>INTANGIBLE ASSETS</t>
  </si>
  <si>
    <t>OTHER ASSETS</t>
  </si>
  <si>
    <t>HEDGING DERIVATIVES</t>
  </si>
  <si>
    <t>LIABILITIES AND EQUITY</t>
  </si>
  <si>
    <t>TOTAL LIABILITIES</t>
  </si>
  <si>
    <t>TOTAL EQUITY</t>
  </si>
  <si>
    <t>TOTAL LIABILITIES AND EQUITY</t>
  </si>
  <si>
    <t>TECHNICAL PROVISIONS</t>
  </si>
  <si>
    <t>NON-TECHNICAL PROVISIONS</t>
  </si>
  <si>
    <t>OTHER LIABILITIES</t>
  </si>
  <si>
    <t>12M 2018</t>
  </si>
  <si>
    <t>DEBT AND ACCOUNTS PAYABLE</t>
  </si>
  <si>
    <t>AVAILABLE-FOR-SALE FINANCIAL ASSETS</t>
  </si>
  <si>
    <t>Debt securities</t>
  </si>
  <si>
    <t>REINSURERS' SHARE OF TECHNICAL PROVISIONS</t>
  </si>
  <si>
    <t>Provision for unearned premiums</t>
  </si>
  <si>
    <t>Provision for claims</t>
  </si>
  <si>
    <t>Property, plant and equipment</t>
  </si>
  <si>
    <t>Investment property</t>
  </si>
  <si>
    <t>PROPERTY, PLANT AND EQUIPMENT AND INVESTMENT PROPERTY</t>
  </si>
  <si>
    <t>Provision for unexpired risks</t>
  </si>
  <si>
    <t>PROFIT/(LOSS) BEFORE TAX</t>
  </si>
  <si>
    <t>Income tax</t>
  </si>
  <si>
    <t>PROFIT/(LOSS) FOR THE YEAR</t>
  </si>
  <si>
    <t>Profit sharing and premium refunds</t>
  </si>
  <si>
    <t>of which SOCIMIs</t>
  </si>
  <si>
    <t>GROSS WRITTEN PREIMIUMS</t>
  </si>
  <si>
    <t>-</t>
  </si>
  <si>
    <t>BALANCE SHEET</t>
  </si>
  <si>
    <r>
      <rPr>
        <b/>
        <sz val="10"/>
        <color theme="1" tint="0.34998626667073579"/>
        <rFont val="Futura Std Light"/>
        <family val="2"/>
      </rPr>
      <t>TOTAL</t>
    </r>
    <r>
      <rPr>
        <b/>
        <sz val="10"/>
        <color rgb="FFC00000"/>
        <rFont val="Futura Std Light"/>
        <family val="2"/>
      </rPr>
      <t xml:space="preserve"> ASSETS</t>
    </r>
  </si>
  <si>
    <t>GROSS WRITTEN PREMIUMS</t>
  </si>
  <si>
    <t>PREMIUMS EARNED, NET OF REINSURANCE</t>
  </si>
  <si>
    <t>Corporate</t>
  </si>
  <si>
    <t>Government</t>
  </si>
  <si>
    <t>AAA</t>
  </si>
  <si>
    <t>AA</t>
  </si>
  <si>
    <t>A</t>
  </si>
  <si>
    <t>BBB</t>
  </si>
  <si>
    <t>Industrial</t>
  </si>
  <si>
    <t>Below BBB</t>
  </si>
  <si>
    <t>Not rated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</si>
  <si>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</si>
  <si>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</si>
  <si>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</si>
  <si>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</si>
  <si>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</si>
  <si>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</si>
  <si>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</si>
  <si>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</si>
  <si>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Income from investments</t>
  </si>
  <si>
    <t>Expenses from investments</t>
  </si>
  <si>
    <t>FINANCIAL RESULT</t>
  </si>
  <si>
    <t>TECHNICAL - FINANCIAL RESULT</t>
  </si>
  <si>
    <t>Profit (loss) from other activities</t>
  </si>
  <si>
    <t>Equity</t>
  </si>
  <si>
    <t>Valuation adjustments</t>
  </si>
  <si>
    <t>SOLVENCY</t>
  </si>
  <si>
    <t>Market Risk</t>
  </si>
  <si>
    <t>Diversification</t>
  </si>
  <si>
    <t>Adjustment for the loss-absorbing capacity of taxes</t>
  </si>
  <si>
    <t>Total eligible own funds</t>
  </si>
  <si>
    <t>of which Tier I unrestricted</t>
  </si>
  <si>
    <t>Thousand euro</t>
  </si>
  <si>
    <t>Counterparty Risk</t>
  </si>
  <si>
    <t>Health Risk</t>
  </si>
  <si>
    <t>Operational Risk</t>
  </si>
  <si>
    <t>Non-life Undrewriting Risk</t>
  </si>
  <si>
    <t>Basic Solvency Capital Requirement (BSCR)</t>
  </si>
  <si>
    <t>Solvency Capital Required (SCR)</t>
  </si>
  <si>
    <t>Minimum Capital Required (MCR)</t>
  </si>
  <si>
    <t>Coverage Ratio (MCR)</t>
  </si>
  <si>
    <t>Solvency II Ratio (SCR)</t>
  </si>
  <si>
    <t>OTHER INSURANCE BUSINESSES</t>
  </si>
  <si>
    <t>INVESTMENT PROPERTY</t>
  </si>
  <si>
    <t>INDEX</t>
  </si>
  <si>
    <t>Balance sheet</t>
  </si>
  <si>
    <t>P&amp;L</t>
  </si>
  <si>
    <t>Business lines</t>
  </si>
  <si>
    <t>Investments</t>
  </si>
  <si>
    <t>Solvency</t>
  </si>
  <si>
    <t>BUSINESS LINES</t>
  </si>
  <si>
    <t>SUB-TOTAL</t>
  </si>
  <si>
    <t>9M 2021</t>
  </si>
  <si>
    <t>9M 2020</t>
  </si>
  <si>
    <t>6M 2021</t>
  </si>
  <si>
    <t>6M 2020</t>
  </si>
  <si>
    <t>9M 2019</t>
  </si>
  <si>
    <t>STANDALONE QUARTERS</t>
  </si>
  <si>
    <t>3Q 2020</t>
  </si>
  <si>
    <t>3Q 2021</t>
  </si>
  <si>
    <t>INCOME STATEMENT</t>
  </si>
  <si>
    <t>p.p var.</t>
  </si>
  <si>
    <t>Real estate</t>
  </si>
  <si>
    <t>Thousand euro, ratios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</si>
</sst>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8" formatCode="0.0\ \p\.\p"/>
    <numFmt numFmtId="169" formatCode="#,##0.0%;\-#,##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0"/>
      <color rgb="FF595959"/>
      <name val="Calibri"/>
      <family val="2"/>
      <charset val="1"/>
    </font>
    <font>
      <b/>
      <sz val="10"/>
      <color rgb="FFC00000"/>
      <name val="Calibri"/>
      <family val="2"/>
      <charset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Futura Std Light"/>
      <family val="2"/>
    </font>
    <font>
      <sz val="11"/>
      <color theme="1"/>
      <name val="Futura Std Light"/>
      <family val="2"/>
    </font>
    <font>
      <b/>
      <sz val="10"/>
      <color rgb="FFC00000"/>
      <name val="Futura Std Light"/>
      <family val="2"/>
    </font>
    <font>
      <b/>
      <sz val="10"/>
      <color rgb="FFC9211E"/>
      <name val="Futura Std Light"/>
      <family val="2"/>
    </font>
    <font>
      <b/>
      <sz val="10"/>
      <color theme="1" tint="0.34998626667073579"/>
      <name val="Futura Std Light"/>
      <family val="2"/>
    </font>
    <font>
      <sz val="11"/>
      <color rgb="FF006100"/>
      <name val="Futura Std Light"/>
      <family val="2"/>
    </font>
    <font>
      <sz val="10"/>
      <color theme="1" tint="0.34998626667073579"/>
      <name val="Futura Std Light"/>
      <family val="2"/>
    </font>
    <font>
      <sz val="10"/>
      <color theme="1"/>
      <name val="Futura Std Light"/>
      <family val="2"/>
    </font>
    <font>
      <i/>
      <sz val="10"/>
      <color theme="1" tint="0.34998626667073579"/>
      <name val="Futura Std Light"/>
      <family val="2"/>
    </font>
    <font>
      <b/>
      <i/>
      <sz val="10"/>
      <color theme="1" tint="0.34998626667073579"/>
      <name val="Futura Std Light"/>
      <family val="2"/>
    </font>
    <font>
      <sz val="10"/>
      <color rgb="FF595959"/>
      <name val="Futura Std Light"/>
      <family val="2"/>
    </font>
    <font>
      <sz val="10"/>
      <name val="Futura Std Light"/>
      <family val="2"/>
    </font>
    <font>
      <i/>
      <sz val="10"/>
      <name val="Futura Std Light"/>
      <family val="2"/>
    </font>
    <font>
      <i/>
      <sz val="11"/>
      <color theme="1" tint="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61">
    <xf numFmtId="0" fontId="0" fillId="0" borderId="0" xfId="0"/>
    <xf numFmtId="0" fontId="0" fillId="3" borderId="0" xfId="0" applyFill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164" fontId="0" fillId="0" borderId="0" xfId="2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165" fontId="8" fillId="3" borderId="0" xfId="1" applyNumberFormat="1" applyFont="1" applyFill="1" applyBorder="1" applyAlignment="1">
      <alignment vertical="center"/>
    </xf>
    <xf numFmtId="0" fontId="12" fillId="2" borderId="0" xfId="3" applyFont="1" applyAlignment="1">
      <alignment horizontal="center" vertical="center"/>
    </xf>
    <xf numFmtId="166" fontId="11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1" fillId="0" borderId="0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4" fontId="11" fillId="0" borderId="1" xfId="1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left" vertical="center"/>
    </xf>
    <xf numFmtId="166" fontId="11" fillId="0" borderId="2" xfId="1" applyNumberFormat="1" applyFont="1" applyFill="1" applyBorder="1" applyAlignment="1">
      <alignment vertical="center"/>
    </xf>
    <xf numFmtId="166" fontId="11" fillId="0" borderId="2" xfId="1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vertical="center" readingOrder="1"/>
    </xf>
    <xf numFmtId="166" fontId="13" fillId="0" borderId="5" xfId="1" applyNumberFormat="1" applyFont="1" applyFill="1" applyBorder="1" applyAlignment="1">
      <alignment horizontal="right" vertical="center"/>
    </xf>
    <xf numFmtId="166" fontId="11" fillId="0" borderId="5" xfId="1" applyNumberFormat="1" applyFont="1" applyFill="1" applyBorder="1" applyAlignment="1">
      <alignment horizontal="right" vertical="center"/>
    </xf>
    <xf numFmtId="166" fontId="11" fillId="0" borderId="6" xfId="1" applyNumberFormat="1" applyFont="1" applyFill="1" applyBorder="1" applyAlignment="1">
      <alignment vertical="center"/>
    </xf>
    <xf numFmtId="14" fontId="11" fillId="0" borderId="4" xfId="1" applyNumberFormat="1" applyFont="1" applyFill="1" applyBorder="1" applyAlignment="1">
      <alignment horizontal="right" vertical="center"/>
    </xf>
    <xf numFmtId="14" fontId="9" fillId="5" borderId="7" xfId="1" applyNumberFormat="1" applyFont="1" applyFill="1" applyBorder="1" applyAlignment="1">
      <alignment horizontal="right" vertical="center"/>
    </xf>
    <xf numFmtId="166" fontId="11" fillId="5" borderId="8" xfId="1" applyNumberFormat="1" applyFont="1" applyFill="1" applyBorder="1" applyAlignment="1">
      <alignment horizontal="right" vertical="center"/>
    </xf>
    <xf numFmtId="166" fontId="13" fillId="5" borderId="8" xfId="1" applyNumberFormat="1" applyFont="1" applyFill="1" applyBorder="1" applyAlignment="1">
      <alignment horizontal="right" vertical="center"/>
    </xf>
    <xf numFmtId="166" fontId="11" fillId="5" borderId="9" xfId="1" applyNumberFormat="1" applyFont="1" applyFill="1" applyBorder="1" applyAlignment="1">
      <alignment vertical="center"/>
    </xf>
    <xf numFmtId="166" fontId="11" fillId="5" borderId="9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readingOrder="1"/>
    </xf>
    <xf numFmtId="0" fontId="13" fillId="0" borderId="0" xfId="0" applyFont="1" applyFill="1" applyBorder="1" applyAlignment="1">
      <alignment vertical="center"/>
    </xf>
    <xf numFmtId="166" fontId="13" fillId="0" borderId="0" xfId="1" applyNumberFormat="1" applyFont="1" applyFill="1" applyBorder="1" applyAlignment="1">
      <alignment vertical="center"/>
    </xf>
    <xf numFmtId="166" fontId="11" fillId="5" borderId="8" xfId="1" applyNumberFormat="1" applyFont="1" applyFill="1" applyBorder="1" applyAlignment="1">
      <alignment vertical="center"/>
    </xf>
    <xf numFmtId="166" fontId="13" fillId="5" borderId="8" xfId="1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readingOrder="1"/>
    </xf>
    <xf numFmtId="0" fontId="8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readingOrder="1"/>
    </xf>
    <xf numFmtId="164" fontId="16" fillId="0" borderId="0" xfId="2" applyNumberFormat="1" applyFont="1" applyFill="1" applyBorder="1" applyAlignment="1">
      <alignment horizontal="right" vertical="center"/>
    </xf>
    <xf numFmtId="164" fontId="15" fillId="0" borderId="0" xfId="2" applyNumberFormat="1" applyFont="1" applyFill="1" applyBorder="1" applyAlignment="1">
      <alignment horizontal="right" vertical="center"/>
    </xf>
    <xf numFmtId="168" fontId="15" fillId="0" borderId="0" xfId="0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8" fontId="15" fillId="0" borderId="2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169" fontId="13" fillId="0" borderId="0" xfId="2" applyNumberFormat="1" applyFont="1" applyFill="1" applyBorder="1" applyAlignment="1">
      <alignment horizontal="right" vertical="center"/>
    </xf>
    <xf numFmtId="169" fontId="13" fillId="5" borderId="8" xfId="2" applyNumberFormat="1" applyFont="1" applyFill="1" applyBorder="1" applyAlignment="1">
      <alignment horizontal="right" vertical="center"/>
    </xf>
    <xf numFmtId="169" fontId="11" fillId="0" borderId="2" xfId="2" applyNumberFormat="1" applyFont="1" applyFill="1" applyBorder="1" applyAlignment="1">
      <alignment horizontal="right" vertical="center"/>
    </xf>
    <xf numFmtId="169" fontId="11" fillId="5" borderId="9" xfId="2" applyNumberFormat="1" applyFont="1" applyFill="1" applyBorder="1" applyAlignment="1">
      <alignment horizontal="right" vertical="center"/>
    </xf>
    <xf numFmtId="0" fontId="11" fillId="0" borderId="1" xfId="1" applyNumberFormat="1" applyFont="1" applyFill="1" applyBorder="1" applyAlignment="1">
      <alignment horizontal="right" vertical="center"/>
    </xf>
    <xf numFmtId="0" fontId="11" fillId="0" borderId="4" xfId="1" applyNumberFormat="1" applyFont="1" applyFill="1" applyBorder="1" applyAlignment="1">
      <alignment horizontal="right" vertical="center"/>
    </xf>
    <xf numFmtId="0" fontId="9" fillId="5" borderId="7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164" fontId="13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4" fontId="13" fillId="0" borderId="5" xfId="2" applyNumberFormat="1" applyFont="1" applyFill="1" applyBorder="1" applyAlignment="1">
      <alignment horizontal="right" vertical="center"/>
    </xf>
    <xf numFmtId="164" fontId="13" fillId="5" borderId="8" xfId="2" applyNumberFormat="1" applyFont="1" applyFill="1" applyBorder="1" applyAlignment="1">
      <alignment horizontal="right" vertical="center"/>
    </xf>
    <xf numFmtId="164" fontId="11" fillId="0" borderId="2" xfId="2" applyNumberFormat="1" applyFont="1" applyFill="1" applyBorder="1" applyAlignment="1">
      <alignment horizontal="right" vertical="center"/>
    </xf>
    <xf numFmtId="164" fontId="11" fillId="0" borderId="6" xfId="2" applyNumberFormat="1" applyFont="1" applyFill="1" applyBorder="1" applyAlignment="1">
      <alignment horizontal="right" vertical="center"/>
    </xf>
    <xf numFmtId="164" fontId="11" fillId="5" borderId="9" xfId="2" applyNumberFormat="1" applyFont="1" applyFill="1" applyBorder="1" applyAlignment="1">
      <alignment horizontal="right" vertical="center"/>
    </xf>
    <xf numFmtId="164" fontId="11" fillId="5" borderId="5" xfId="2" applyNumberFormat="1" applyFont="1" applyFill="1" applyBorder="1" applyAlignment="1">
      <alignment horizontal="center" vertical="center"/>
    </xf>
    <xf numFmtId="164" fontId="13" fillId="5" borderId="5" xfId="2" applyNumberFormat="1" applyFont="1" applyFill="1" applyBorder="1" applyAlignment="1">
      <alignment horizontal="center" vertical="center"/>
    </xf>
    <xf numFmtId="164" fontId="11" fillId="5" borderId="6" xfId="2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 vertical="center" indent="1"/>
    </xf>
    <xf numFmtId="0" fontId="8" fillId="0" borderId="0" xfId="0" applyFont="1"/>
    <xf numFmtId="0" fontId="8" fillId="5" borderId="0" xfId="0" applyFont="1" applyFill="1" applyBorder="1" applyAlignment="1">
      <alignment vertical="center"/>
    </xf>
    <xf numFmtId="0" fontId="11" fillId="0" borderId="1" xfId="1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indent="2"/>
    </xf>
    <xf numFmtId="0" fontId="13" fillId="0" borderId="0" xfId="0" applyFont="1" applyFill="1" applyBorder="1" applyAlignment="1">
      <alignment horizontal="left" vertical="center" indent="1" readingOrder="1"/>
    </xf>
    <xf numFmtId="0" fontId="14" fillId="0" borderId="0" xfId="0" applyFont="1"/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15" fillId="0" borderId="0" xfId="0" applyFont="1" applyAlignment="1">
      <alignment horizontal="right"/>
    </xf>
    <xf numFmtId="0" fontId="11" fillId="0" borderId="1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9" fontId="11" fillId="0" borderId="15" xfId="2" applyNumberFormat="1" applyFont="1" applyFill="1" applyBorder="1" applyAlignment="1">
      <alignment vertical="center"/>
    </xf>
    <xf numFmtId="9" fontId="11" fillId="0" borderId="1" xfId="2" applyNumberFormat="1" applyFont="1" applyFill="1" applyBorder="1" applyAlignment="1">
      <alignment vertical="center"/>
    </xf>
    <xf numFmtId="0" fontId="15" fillId="0" borderId="0" xfId="0" applyFont="1" applyAlignment="1">
      <alignment horizontal="left" indent="1"/>
    </xf>
    <xf numFmtId="9" fontId="15" fillId="0" borderId="0" xfId="2" applyFont="1"/>
    <xf numFmtId="9" fontId="15" fillId="0" borderId="0" xfId="2" applyFont="1" applyFill="1"/>
    <xf numFmtId="9" fontId="15" fillId="5" borderId="8" xfId="2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vertical="center"/>
    </xf>
    <xf numFmtId="0" fontId="18" fillId="5" borderId="0" xfId="0" applyFont="1" applyFill="1" applyBorder="1" applyAlignment="1">
      <alignment vertical="center"/>
    </xf>
    <xf numFmtId="0" fontId="18" fillId="5" borderId="0" xfId="4" applyFont="1" applyFill="1" applyBorder="1" applyAlignment="1">
      <alignment horizontal="left" vertical="center" indent="1"/>
    </xf>
    <xf numFmtId="0" fontId="19" fillId="5" borderId="0" xfId="4" applyFont="1" applyFill="1" applyBorder="1" applyAlignment="1">
      <alignment horizontal="left" vertical="center" indent="2"/>
    </xf>
    <xf numFmtId="0" fontId="9" fillId="7" borderId="0" xfId="4" applyFont="1" applyFill="1" applyBorder="1" applyAlignment="1">
      <alignment horizontal="center" vertical="center"/>
    </xf>
    <xf numFmtId="3" fontId="11" fillId="5" borderId="8" xfId="1" applyNumberFormat="1" applyFont="1" applyFill="1" applyBorder="1" applyAlignment="1">
      <alignment vertical="center"/>
    </xf>
    <xf numFmtId="9" fontId="11" fillId="5" borderId="17" xfId="2" applyFont="1" applyFill="1" applyBorder="1" applyAlignment="1">
      <alignment vertical="center"/>
    </xf>
    <xf numFmtId="9" fontId="11" fillId="5" borderId="7" xfId="2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0" fontId="11" fillId="0" borderId="15" xfId="0" applyFont="1" applyBorder="1" applyAlignment="1">
      <alignment horizontal="left" vertical="center"/>
    </xf>
    <xf numFmtId="164" fontId="11" fillId="5" borderId="16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4" fontId="11" fillId="5" borderId="1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65" fontId="11" fillId="0" borderId="0" xfId="1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readingOrder="1"/>
    </xf>
    <xf numFmtId="0" fontId="10" fillId="3" borderId="0" xfId="0" applyFont="1" applyFill="1" applyAlignment="1">
      <alignment horizontal="left" vertical="center" readingOrder="1"/>
    </xf>
    <xf numFmtId="0" fontId="11" fillId="0" borderId="1" xfId="0" applyFont="1" applyBorder="1" applyAlignment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 readingOrder="1"/>
    </xf>
    <xf numFmtId="0" fontId="13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 readingOrder="1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vertical="center" readingOrder="1"/>
    </xf>
    <xf numFmtId="10" fontId="20" fillId="3" borderId="0" xfId="2" applyNumberFormat="1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1" fillId="0" borderId="2" xfId="0" applyFont="1" applyBorder="1" applyAlignment="1">
      <alignment horizontal="left" vertical="center" readingOrder="1"/>
    </xf>
    <xf numFmtId="0" fontId="11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168" fontId="15" fillId="0" borderId="0" xfId="0" applyNumberFormat="1" applyFont="1" applyAlignment="1">
      <alignment horizontal="right" vertical="center"/>
    </xf>
    <xf numFmtId="168" fontId="15" fillId="0" borderId="0" xfId="2" applyNumberFormat="1" applyFont="1" applyFill="1" applyBorder="1" applyAlignment="1">
      <alignment horizontal="right" vertical="center"/>
    </xf>
    <xf numFmtId="168" fontId="16" fillId="0" borderId="2" xfId="2" applyNumberFormat="1" applyFont="1" applyFill="1" applyBorder="1" applyAlignment="1">
      <alignment horizontal="right" vertical="center"/>
    </xf>
    <xf numFmtId="9" fontId="11" fillId="0" borderId="16" xfId="2" applyFont="1" applyFill="1" applyBorder="1" applyAlignment="1">
      <alignment vertical="center"/>
    </xf>
    <xf numFmtId="9" fontId="11" fillId="0" borderId="4" xfId="2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9" fillId="5" borderId="13" xfId="1" applyNumberFormat="1" applyFont="1" applyFill="1" applyBorder="1" applyAlignment="1">
      <alignment horizontal="center" vertical="center"/>
    </xf>
    <xf numFmtId="0" fontId="9" fillId="5" borderId="4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center" vertical="center"/>
    </xf>
    <xf numFmtId="165" fontId="13" fillId="5" borderId="8" xfId="1" applyNumberFormat="1" applyFont="1" applyFill="1" applyBorder="1" applyAlignment="1">
      <alignment horizontal="right" vertical="center"/>
    </xf>
    <xf numFmtId="165" fontId="11" fillId="0" borderId="2" xfId="1" applyNumberFormat="1" applyFont="1" applyFill="1" applyBorder="1" applyAlignment="1">
      <alignment horizontal="right" vertical="center"/>
    </xf>
    <xf numFmtId="165" fontId="11" fillId="5" borderId="9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5" xfId="1" applyNumberFormat="1" applyFont="1" applyFill="1" applyBorder="1" applyAlignment="1">
      <alignment horizontal="right" vertical="center"/>
    </xf>
    <xf numFmtId="165" fontId="11" fillId="5" borderId="8" xfId="1" applyNumberFormat="1" applyFont="1" applyFill="1" applyBorder="1" applyAlignment="1">
      <alignment horizontal="right" vertical="center"/>
    </xf>
    <xf numFmtId="165" fontId="13" fillId="0" borderId="5" xfId="1" applyNumberFormat="1" applyFont="1" applyFill="1" applyBorder="1" applyAlignment="1">
      <alignment horizontal="right" vertical="center"/>
    </xf>
    <xf numFmtId="165" fontId="11" fillId="0" borderId="6" xfId="1" applyNumberFormat="1" applyFont="1" applyFill="1" applyBorder="1" applyAlignment="1">
      <alignment horizontal="right" vertical="center"/>
    </xf>
    <xf numFmtId="165" fontId="11" fillId="5" borderId="1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165" fontId="13" fillId="5" borderId="10" xfId="1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166" fontId="13" fillId="5" borderId="10" xfId="1" applyNumberFormat="1" applyFont="1" applyFill="1" applyBorder="1" applyAlignment="1">
      <alignment horizontal="center" vertical="center"/>
    </xf>
    <xf numFmtId="165" fontId="11" fillId="0" borderId="15" xfId="1" applyNumberFormat="1" applyFont="1" applyFill="1" applyBorder="1" applyAlignment="1">
      <alignment horizontal="center" vertical="center"/>
    </xf>
    <xf numFmtId="165" fontId="11" fillId="5" borderId="18" xfId="1" applyNumberFormat="1" applyFont="1" applyFill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5" fontId="11" fillId="5" borderId="11" xfId="1" applyNumberFormat="1" applyFont="1" applyFill="1" applyBorder="1" applyAlignment="1">
      <alignment horizontal="center" vertical="center"/>
    </xf>
  </cellXfs>
  <cellStyles count="5">
    <cellStyle name="Bueno" xfId="3" builtinId="26"/>
    <cellStyle name="Hipervínculo" xfId="4" builtinId="8"/>
    <cellStyle name="Millares" xfId="1" builtinId="3"/>
    <cellStyle name="Normal" xfId="0" builtinId="0"/>
    <cellStyle name="Porcentaje" xfId="2" builtinId="5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5959"/>
      <color rgb="FFE74545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8</xdr:col>
      <xdr:colOff>38953</xdr:colOff>
      <xdr:row>21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F7E313-7135-40A0-84B7-08CDEFEC26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980" r="7980"/>
        <a:stretch/>
      </xdr:blipFill>
      <xdr:spPr bwMode="auto">
        <a:xfrm>
          <a:off x="1" y="1"/>
          <a:ext cx="6134952" cy="424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63500</xdr:colOff>
      <xdr:row>0</xdr:row>
      <xdr:rowOff>95250</xdr:rowOff>
    </xdr:from>
    <xdr:to>
      <xdr:col>6</xdr:col>
      <xdr:colOff>724696</xdr:colOff>
      <xdr:row>3</xdr:row>
      <xdr:rowOff>31973</xdr:rowOff>
    </xdr:to>
    <xdr:sp macro="" textlink="">
      <xdr:nvSpPr>
        <xdr:cNvPr id="3" name="Título 1">
          <a:extLst>
            <a:ext uri="{FF2B5EF4-FFF2-40B4-BE49-F238E27FC236}">
              <a16:creationId xmlns:a16="http://schemas.microsoft.com/office/drawing/2014/main" id="{6C2E8D25-1AD8-4820-A78A-2C2255A35060}"/>
            </a:ext>
          </a:extLst>
        </xdr:cNvPr>
        <xdr:cNvSpPr>
          <a:spLocks noGrp="1"/>
        </xdr:cNvSpPr>
      </xdr:nvSpPr>
      <xdr:spPr>
        <a:xfrm>
          <a:off x="63500" y="95250"/>
          <a:ext cx="5233196" cy="489173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60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Línea Directa Aseguradora Group</a:t>
          </a:r>
        </a:p>
      </xdr:txBody>
    </xdr:sp>
    <xdr:clientData/>
  </xdr:twoCellAnchor>
  <xdr:twoCellAnchor>
    <xdr:from>
      <xdr:col>0</xdr:col>
      <xdr:colOff>63500</xdr:colOff>
      <xdr:row>3</xdr:row>
      <xdr:rowOff>34291</xdr:rowOff>
    </xdr:from>
    <xdr:to>
      <xdr:col>7</xdr:col>
      <xdr:colOff>123825</xdr:colOff>
      <xdr:row>6</xdr:row>
      <xdr:rowOff>59914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0B4CEC5-04EF-4B1A-8ECF-5708EC8B687C}"/>
            </a:ext>
          </a:extLst>
        </xdr:cNvPr>
        <xdr:cNvSpPr txBox="1">
          <a:spLocks/>
        </xdr:cNvSpPr>
      </xdr:nvSpPr>
      <xdr:spPr>
        <a:xfrm>
          <a:off x="63500" y="653416"/>
          <a:ext cx="5394325" cy="597123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3600" b="1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More digital, more useful</a:t>
          </a:r>
        </a:p>
      </xdr:txBody>
    </xdr:sp>
    <xdr:clientData/>
  </xdr:twoCellAnchor>
  <xdr:twoCellAnchor>
    <xdr:from>
      <xdr:col>0</xdr:col>
      <xdr:colOff>156845</xdr:colOff>
      <xdr:row>13</xdr:row>
      <xdr:rowOff>731</xdr:rowOff>
    </xdr:from>
    <xdr:to>
      <xdr:col>7</xdr:col>
      <xdr:colOff>400050</xdr:colOff>
      <xdr:row>15</xdr:row>
      <xdr:rowOff>163089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56845" y="2394681"/>
          <a:ext cx="5577205" cy="53065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2800" b="1" i="0">
              <a:solidFill>
                <a:srgbClr val="F2F2F2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Financial Supplement</a:t>
          </a:r>
          <a:endParaRPr lang="es-ES" sz="2000" b="1" i="0">
            <a:solidFill>
              <a:srgbClr val="F2F2F2"/>
            </a:solidFill>
            <a:latin typeface="Futura Std Light" panose="020B0402020204020303" pitchFamily="34" charset="0"/>
          </a:endParaRPr>
        </a:p>
      </xdr:txBody>
    </xdr:sp>
    <xdr:clientData/>
  </xdr:twoCellAnchor>
  <xdr:twoCellAnchor>
    <xdr:from>
      <xdr:col>0</xdr:col>
      <xdr:colOff>189503</xdr:colOff>
      <xdr:row>15</xdr:row>
      <xdr:rowOff>155651</xdr:rowOff>
    </xdr:from>
    <xdr:to>
      <xdr:col>4</xdr:col>
      <xdr:colOff>247650</xdr:colOff>
      <xdr:row>17</xdr:row>
      <xdr:rowOff>134640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89503" y="3060776"/>
          <a:ext cx="3106147" cy="35998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600" i="0">
              <a:solidFill>
                <a:schemeClr val="bg1"/>
              </a:solidFill>
              <a:latin typeface="Futura Std Light" panose="020B0402020204020303" pitchFamily="34" charset="0"/>
              <a:ea typeface="Cambria" panose="02040503050406030204" pitchFamily="18" charset="0"/>
            </a:rPr>
            <a:t>9M 2021 Results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dimension ref="I1:I24"/>
  <sheetViews>
    <sheetView showGridLines="0" tabSelected="1" zoomScale="120" zoomScaleNormal="120" workbookViewId="0"/>
  </sheetViews>
  <sheetFormatPr baseColWidth="10" defaultColWidth="11.42578125" defaultRowHeight="15.75" x14ac:dyDescent="0.3"/>
  <cols>
    <col min="1" max="8" width="11.42578125" style="79"/>
    <col min="9" max="9" width="31.5703125" style="41" bestFit="1" customWidth="1"/>
    <col min="10" max="16384" width="11.42578125" style="79"/>
  </cols>
  <sheetData>
    <row r="1" spans="9:9" ht="18.75" customHeight="1" x14ac:dyDescent="0.3">
      <c r="I1" s="78" t="s">
        <v>109</v>
      </c>
    </row>
    <row r="2" spans="9:9" x14ac:dyDescent="0.3">
      <c r="I2" s="102"/>
    </row>
    <row r="3" spans="9:9" x14ac:dyDescent="0.3">
      <c r="I3" s="103" t="s">
        <v>110</v>
      </c>
    </row>
    <row r="4" spans="9:9" x14ac:dyDescent="0.3">
      <c r="I4" s="103" t="s">
        <v>111</v>
      </c>
    </row>
    <row r="5" spans="9:9" x14ac:dyDescent="0.3">
      <c r="I5" s="103" t="s">
        <v>112</v>
      </c>
    </row>
    <row r="6" spans="9:9" x14ac:dyDescent="0.3">
      <c r="I6" s="104" t="s">
        <v>3</v>
      </c>
    </row>
    <row r="7" spans="9:9" x14ac:dyDescent="0.3">
      <c r="I7" s="104" t="s">
        <v>4</v>
      </c>
    </row>
    <row r="8" spans="9:9" x14ac:dyDescent="0.3">
      <c r="I8" s="104" t="s">
        <v>5</v>
      </c>
    </row>
    <row r="9" spans="9:9" x14ac:dyDescent="0.3">
      <c r="I9" s="104" t="s">
        <v>6</v>
      </c>
    </row>
    <row r="10" spans="9:9" x14ac:dyDescent="0.3">
      <c r="I10" s="103" t="s">
        <v>113</v>
      </c>
    </row>
    <row r="11" spans="9:9" x14ac:dyDescent="0.3">
      <c r="I11" s="103" t="s">
        <v>114</v>
      </c>
    </row>
    <row r="12" spans="9:9" x14ac:dyDescent="0.3">
      <c r="I12" s="103"/>
    </row>
    <row r="13" spans="9:9" x14ac:dyDescent="0.3">
      <c r="I13" s="103"/>
    </row>
    <row r="14" spans="9:9" x14ac:dyDescent="0.3">
      <c r="I14" s="80"/>
    </row>
    <row r="15" spans="9:9" x14ac:dyDescent="0.3">
      <c r="I15" s="80"/>
    </row>
    <row r="16" spans="9:9" x14ac:dyDescent="0.3">
      <c r="I16" s="80"/>
    </row>
    <row r="17" spans="9:9" x14ac:dyDescent="0.3">
      <c r="I17" s="80"/>
    </row>
    <row r="18" spans="9:9" x14ac:dyDescent="0.3">
      <c r="I18" s="80"/>
    </row>
    <row r="19" spans="9:9" x14ac:dyDescent="0.3">
      <c r="I19" s="80"/>
    </row>
    <row r="20" spans="9:9" x14ac:dyDescent="0.3">
      <c r="I20" s="80"/>
    </row>
    <row r="21" spans="9:9" x14ac:dyDescent="0.3">
      <c r="I21" s="80"/>
    </row>
    <row r="22" spans="9:9" x14ac:dyDescent="0.3">
      <c r="I22" s="33"/>
    </row>
    <row r="23" spans="9:9" x14ac:dyDescent="0.3">
      <c r="I23" s="33"/>
    </row>
    <row r="24" spans="9:9" x14ac:dyDescent="0.3">
      <c r="I24" s="33"/>
    </row>
  </sheetData>
  <hyperlinks>
    <hyperlink ref="I3" location="'Balance sheet'!A1" display="Balance sheet" xr:uid="{51D99719-9D2D-41E1-8680-5A95A419967E}"/>
    <hyperlink ref="I4" location="'P&amp;L'!A1" display="P&amp;L" xr:uid="{B9DA70F5-FBB5-4214-95CD-8F434AAA3509}"/>
    <hyperlink ref="I5" location="'Business lines'!A1" display="Business lines" xr:uid="{0563098A-2E9D-4196-BE10-3B4C2D8EE785}"/>
    <hyperlink ref="I6" location="Motor!A1" display="Motor" xr:uid="{2C0E94A1-CE03-4CC7-9616-5E5F857A5995}"/>
    <hyperlink ref="I7" location="Home!A1" display="Home" xr:uid="{A5145BB3-AF7C-45FF-A38C-776D9AD0D6F2}"/>
    <hyperlink ref="I8" location="Health!A1" display="Health" xr:uid="{7150625E-7899-4BEC-AC04-1FAFF5534BE3}"/>
    <hyperlink ref="I9" location="Other!A1" display="Other" xr:uid="{3A8AF698-D20D-450A-BAE0-5FA1A3DA11DC}"/>
    <hyperlink ref="I10" location="Investments!A1" display="Investments" xr:uid="{F3C7B734-4AC3-43B1-ABD8-B66F22E2B506}"/>
    <hyperlink ref="I11" location="Solvency!A1" display="Solvency" xr:uid="{947129DC-E1C4-41BE-83D7-3FEA09C5A91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dimension ref="A1:H28"/>
  <sheetViews>
    <sheetView showGridLines="0" workbookViewId="0"/>
  </sheetViews>
  <sheetFormatPr baseColWidth="10" defaultColWidth="11.42578125" defaultRowHeight="13.5" x14ac:dyDescent="0.25"/>
  <cols>
    <col min="1" max="1" width="10.7109375" style="86" customWidth="1"/>
    <col min="2" max="2" width="44.85546875" style="86" bestFit="1" customWidth="1"/>
    <col min="3" max="7" width="13.42578125" style="86" customWidth="1"/>
    <col min="8" max="16384" width="11.42578125" style="86"/>
  </cols>
  <sheetData>
    <row r="1" spans="1:8" ht="16.5" customHeight="1" x14ac:dyDescent="0.25"/>
    <row r="2" spans="1:8" ht="18.75" customHeight="1" thickBot="1" x14ac:dyDescent="0.3">
      <c r="A2" s="105" t="s">
        <v>109</v>
      </c>
      <c r="B2" s="23" t="s">
        <v>91</v>
      </c>
      <c r="C2" s="23"/>
      <c r="D2" s="23"/>
      <c r="E2" s="23"/>
      <c r="F2" s="23"/>
      <c r="G2" s="23"/>
    </row>
    <row r="4" spans="1:8" ht="16.5" customHeight="1" thickBot="1" x14ac:dyDescent="0.3">
      <c r="B4" s="18"/>
      <c r="C4" s="19" t="s">
        <v>45</v>
      </c>
      <c r="D4" s="19" t="s">
        <v>17</v>
      </c>
      <c r="E4" s="19" t="s">
        <v>18</v>
      </c>
      <c r="F4" s="27" t="s">
        <v>119</v>
      </c>
      <c r="G4" s="28" t="s">
        <v>117</v>
      </c>
      <c r="H4" s="87"/>
    </row>
    <row r="5" spans="1:8" x14ac:dyDescent="0.25">
      <c r="B5" s="87" t="s">
        <v>101</v>
      </c>
      <c r="C5" s="88">
        <v>167878</v>
      </c>
      <c r="D5" s="88">
        <v>161007</v>
      </c>
      <c r="E5" s="88">
        <v>161004</v>
      </c>
      <c r="F5" s="88">
        <v>176041.67744011318</v>
      </c>
      <c r="G5" s="38">
        <v>177926.27994699604</v>
      </c>
      <c r="H5" s="87"/>
    </row>
    <row r="6" spans="1:8" x14ac:dyDescent="0.25">
      <c r="B6" s="87" t="s">
        <v>92</v>
      </c>
      <c r="C6" s="88">
        <v>94357</v>
      </c>
      <c r="D6" s="88">
        <v>104548</v>
      </c>
      <c r="E6" s="88">
        <v>113510</v>
      </c>
      <c r="F6" s="88">
        <v>134741.65042514564</v>
      </c>
      <c r="G6" s="38">
        <v>132742.8440878487</v>
      </c>
      <c r="H6" s="87"/>
    </row>
    <row r="7" spans="1:8" x14ac:dyDescent="0.25">
      <c r="B7" s="87" t="s">
        <v>98</v>
      </c>
      <c r="C7" s="88">
        <v>15833</v>
      </c>
      <c r="D7" s="88">
        <v>15886</v>
      </c>
      <c r="E7" s="88">
        <v>15291</v>
      </c>
      <c r="F7" s="88">
        <v>13088.640344853802</v>
      </c>
      <c r="G7" s="38">
        <v>15143.908502439715</v>
      </c>
      <c r="H7" s="87"/>
    </row>
    <row r="8" spans="1:8" x14ac:dyDescent="0.25">
      <c r="B8" s="87" t="s">
        <v>99</v>
      </c>
      <c r="C8" s="88">
        <v>1436</v>
      </c>
      <c r="D8" s="88">
        <v>2233</v>
      </c>
      <c r="E8" s="88">
        <v>2778</v>
      </c>
      <c r="F8" s="88">
        <v>2912.5300520279488</v>
      </c>
      <c r="G8" s="38">
        <v>3086.7104631073066</v>
      </c>
      <c r="H8" s="87"/>
    </row>
    <row r="9" spans="1:8" x14ac:dyDescent="0.25">
      <c r="B9" s="87" t="s">
        <v>93</v>
      </c>
      <c r="C9" s="89">
        <v>-58725</v>
      </c>
      <c r="D9" s="89">
        <v>-62201</v>
      </c>
      <c r="E9" s="89">
        <v>-65218</v>
      </c>
      <c r="F9" s="89">
        <f>F10-SUM(F5:F8)</f>
        <v>-72644.63173497899</v>
      </c>
      <c r="G9" s="38">
        <f>G10-SUM(G5:G8)</f>
        <v>-73450.386850913463</v>
      </c>
      <c r="H9" s="87"/>
    </row>
    <row r="10" spans="1:8" x14ac:dyDescent="0.25">
      <c r="B10" s="90" t="s">
        <v>102</v>
      </c>
      <c r="C10" s="91">
        <v>220779</v>
      </c>
      <c r="D10" s="91">
        <v>221473</v>
      </c>
      <c r="E10" s="91">
        <v>227365</v>
      </c>
      <c r="F10" s="91">
        <v>254139.86652716156</v>
      </c>
      <c r="G10" s="37">
        <v>255449.35614947835</v>
      </c>
      <c r="H10" s="87"/>
    </row>
    <row r="11" spans="1:8" x14ac:dyDescent="0.25">
      <c r="B11" s="87" t="s">
        <v>100</v>
      </c>
      <c r="C11" s="88">
        <v>24796</v>
      </c>
      <c r="D11" s="88">
        <v>26092</v>
      </c>
      <c r="E11" s="88">
        <v>26935</v>
      </c>
      <c r="F11" s="88">
        <v>27019.087958100001</v>
      </c>
      <c r="G11" s="38">
        <v>27130.452204599995</v>
      </c>
      <c r="H11" s="87"/>
    </row>
    <row r="12" spans="1:8" ht="14.25" thickBot="1" x14ac:dyDescent="0.3">
      <c r="B12" s="87" t="s">
        <v>94</v>
      </c>
      <c r="C12" s="89">
        <v>-61394</v>
      </c>
      <c r="D12" s="89">
        <v>-61891</v>
      </c>
      <c r="E12" s="89">
        <v>-63575</v>
      </c>
      <c r="F12" s="89">
        <v>-70289.738621315395</v>
      </c>
      <c r="G12" s="38">
        <v>-70644.952088519582</v>
      </c>
      <c r="H12" s="87"/>
    </row>
    <row r="13" spans="1:8" ht="14.25" thickBot="1" x14ac:dyDescent="0.3">
      <c r="B13" s="20" t="s">
        <v>103</v>
      </c>
      <c r="C13" s="21">
        <v>184181</v>
      </c>
      <c r="D13" s="21">
        <v>185674</v>
      </c>
      <c r="E13" s="21">
        <v>190725</v>
      </c>
      <c r="F13" s="26">
        <v>210869.21586394616</v>
      </c>
      <c r="G13" s="31">
        <v>211934.85626555901</v>
      </c>
      <c r="H13" s="87"/>
    </row>
    <row r="14" spans="1:8" ht="9" customHeight="1" x14ac:dyDescent="0.25">
      <c r="B14" s="34"/>
      <c r="C14" s="45"/>
      <c r="D14" s="45"/>
      <c r="E14" s="45"/>
      <c r="F14" s="45"/>
      <c r="G14" s="87"/>
      <c r="H14" s="87"/>
    </row>
    <row r="15" spans="1:8" x14ac:dyDescent="0.25">
      <c r="B15" s="87"/>
      <c r="C15" s="87"/>
      <c r="D15" s="87"/>
      <c r="E15" s="87"/>
      <c r="F15" s="87"/>
      <c r="G15" s="92" t="s">
        <v>97</v>
      </c>
      <c r="H15" s="87"/>
    </row>
    <row r="16" spans="1:8" x14ac:dyDescent="0.25">
      <c r="B16" s="87"/>
      <c r="C16" s="87"/>
      <c r="D16" s="87"/>
      <c r="E16" s="87"/>
      <c r="F16" s="92"/>
      <c r="G16" s="87"/>
      <c r="H16" s="87"/>
    </row>
    <row r="17" spans="2:8" x14ac:dyDescent="0.25">
      <c r="B17" s="87"/>
      <c r="C17" s="87"/>
      <c r="D17" s="87"/>
      <c r="E17" s="87"/>
      <c r="F17" s="87"/>
      <c r="G17" s="87"/>
      <c r="H17" s="87"/>
    </row>
    <row r="18" spans="2:8" ht="14.25" thickBot="1" x14ac:dyDescent="0.3">
      <c r="B18" s="18"/>
      <c r="C18" s="19" t="s">
        <v>45</v>
      </c>
      <c r="D18" s="19" t="s">
        <v>17</v>
      </c>
      <c r="E18" s="19" t="s">
        <v>18</v>
      </c>
      <c r="F18" s="27" t="s">
        <v>119</v>
      </c>
      <c r="G18" s="28" t="s">
        <v>117</v>
      </c>
      <c r="H18" s="87"/>
    </row>
    <row r="19" spans="2:8" x14ac:dyDescent="0.25">
      <c r="B19" s="90" t="s">
        <v>104</v>
      </c>
      <c r="C19" s="91">
        <v>82881</v>
      </c>
      <c r="D19" s="91">
        <v>83553</v>
      </c>
      <c r="E19" s="91">
        <v>85826</v>
      </c>
      <c r="F19" s="91">
        <v>94891.147138775777</v>
      </c>
      <c r="G19" s="37">
        <v>95370.685319501456</v>
      </c>
      <c r="H19" s="87"/>
    </row>
    <row r="20" spans="2:8" x14ac:dyDescent="0.25">
      <c r="B20" s="90" t="s">
        <v>103</v>
      </c>
      <c r="C20" s="91">
        <f t="shared" ref="C20" si="0">+C13</f>
        <v>184181</v>
      </c>
      <c r="D20" s="91">
        <f>+D13</f>
        <v>185674</v>
      </c>
      <c r="E20" s="91">
        <f>+E13</f>
        <v>190725</v>
      </c>
      <c r="F20" s="91">
        <f>+F13</f>
        <v>210869.21586394616</v>
      </c>
      <c r="G20" s="106">
        <f>+G13</f>
        <v>211934.85626555901</v>
      </c>
      <c r="H20" s="87"/>
    </row>
    <row r="21" spans="2:8" x14ac:dyDescent="0.25">
      <c r="B21" s="90"/>
      <c r="C21" s="91"/>
      <c r="D21" s="91"/>
      <c r="E21" s="91"/>
      <c r="F21" s="91"/>
      <c r="G21" s="37"/>
      <c r="H21" s="87"/>
    </row>
    <row r="22" spans="2:8" x14ac:dyDescent="0.25">
      <c r="B22" s="90" t="s">
        <v>95</v>
      </c>
      <c r="C22" s="91">
        <v>385270.20790162636</v>
      </c>
      <c r="D22" s="91">
        <v>391162.2635219369</v>
      </c>
      <c r="E22" s="91">
        <f>526011.113113886-120000</f>
        <v>406011.11311388598</v>
      </c>
      <c r="F22" s="91">
        <v>428100.84974371793</v>
      </c>
      <c r="G22" s="37">
        <v>423947.378974044</v>
      </c>
      <c r="H22" s="87"/>
    </row>
    <row r="23" spans="2:8" x14ac:dyDescent="0.25">
      <c r="B23" s="97" t="s">
        <v>96</v>
      </c>
      <c r="C23" s="98">
        <v>1</v>
      </c>
      <c r="D23" s="98">
        <v>1</v>
      </c>
      <c r="E23" s="98">
        <v>1</v>
      </c>
      <c r="F23" s="99">
        <v>1</v>
      </c>
      <c r="G23" s="100">
        <v>1</v>
      </c>
      <c r="H23" s="87"/>
    </row>
    <row r="24" spans="2:8" ht="14.25" thickBot="1" x14ac:dyDescent="0.3">
      <c r="B24" s="90"/>
      <c r="C24" s="91"/>
      <c r="D24" s="91"/>
      <c r="E24" s="91"/>
      <c r="F24" s="91"/>
      <c r="G24" s="37"/>
      <c r="H24" s="87"/>
    </row>
    <row r="25" spans="2:8" x14ac:dyDescent="0.25">
      <c r="B25" s="94" t="s">
        <v>105</v>
      </c>
      <c r="C25" s="95">
        <f t="shared" ref="C25" si="1">+C22/C19</f>
        <v>4.6484744139383736</v>
      </c>
      <c r="D25" s="95">
        <f>+D22/D19</f>
        <v>4.6816064476671917</v>
      </c>
      <c r="E25" s="95">
        <f>+E22/E19</f>
        <v>4.7306307309426741</v>
      </c>
      <c r="F25" s="138">
        <f>+F22/F19</f>
        <v>4.5114940924639875</v>
      </c>
      <c r="G25" s="107">
        <f>+G22/G19</f>
        <v>4.4452588083411309</v>
      </c>
      <c r="H25" s="87"/>
    </row>
    <row r="26" spans="2:8" ht="14.25" thickBot="1" x14ac:dyDescent="0.3">
      <c r="B26" s="93" t="s">
        <v>106</v>
      </c>
      <c r="C26" s="96">
        <f>+C22/C13</f>
        <v>2.0918021288929172</v>
      </c>
      <c r="D26" s="96">
        <f>+D22/D13</f>
        <v>2.1067153372143483</v>
      </c>
      <c r="E26" s="96">
        <f>+E22/E13</f>
        <v>2.1287776280712332</v>
      </c>
      <c r="F26" s="139">
        <f>+F22/F13</f>
        <v>2.0301723416087945</v>
      </c>
      <c r="G26" s="108">
        <f>+G22/G13</f>
        <v>2.0003664637535068</v>
      </c>
      <c r="H26" s="87"/>
    </row>
    <row r="27" spans="2:8" ht="9" customHeight="1" x14ac:dyDescent="0.25">
      <c r="B27" s="34"/>
      <c r="C27" s="45"/>
      <c r="D27" s="45"/>
      <c r="E27" s="45"/>
      <c r="F27" s="45"/>
      <c r="G27" s="101"/>
      <c r="H27" s="101"/>
    </row>
    <row r="28" spans="2:8" x14ac:dyDescent="0.25">
      <c r="B28" s="87"/>
      <c r="C28" s="87"/>
      <c r="D28" s="87"/>
      <c r="E28" s="87"/>
      <c r="F28" s="87"/>
      <c r="G28" s="92" t="s">
        <v>97</v>
      </c>
      <c r="H28" s="87"/>
    </row>
  </sheetData>
  <hyperlinks>
    <hyperlink ref="A2" location="'Financial supplement&gt;&gt;&gt;'!A1" display="INDEX" xr:uid="{A9B2FDD4-23C9-4B56-919F-F46F18546E24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5F505-6E42-4774-BBAC-F60733D9F807}">
  <dimension ref="A1:K38"/>
  <sheetViews>
    <sheetView showGridLines="0" zoomScaleNormal="100" workbookViewId="0"/>
  </sheetViews>
  <sheetFormatPr baseColWidth="10" defaultColWidth="11.42578125" defaultRowHeight="15.75" x14ac:dyDescent="0.25"/>
  <cols>
    <col min="1" max="1" width="10.5703125" style="11" customWidth="1"/>
    <col min="2" max="2" width="75.28515625" style="11" customWidth="1"/>
    <col min="3" max="6" width="13.28515625" style="11" customWidth="1"/>
    <col min="7" max="7" width="13.140625" style="11" bestFit="1" customWidth="1"/>
    <col min="8" max="16384" width="11.42578125" style="11"/>
  </cols>
  <sheetData>
    <row r="1" spans="1:7" ht="16.5" customHeight="1" x14ac:dyDescent="0.25">
      <c r="A1" s="10"/>
    </row>
    <row r="2" spans="1:7" ht="18.75" customHeight="1" thickBot="1" x14ac:dyDescent="0.3">
      <c r="A2" s="105" t="s">
        <v>109</v>
      </c>
      <c r="B2" s="118" t="s">
        <v>63</v>
      </c>
      <c r="C2" s="125"/>
      <c r="D2" s="125"/>
      <c r="E2" s="125"/>
      <c r="F2" s="125"/>
      <c r="G2" s="125"/>
    </row>
    <row r="3" spans="1:7" x14ac:dyDescent="0.25">
      <c r="B3" s="119"/>
      <c r="C3" s="119"/>
      <c r="D3" s="119"/>
      <c r="E3" s="119"/>
      <c r="F3" s="119"/>
      <c r="G3" s="119"/>
    </row>
    <row r="4" spans="1:7" ht="16.5" thickBot="1" x14ac:dyDescent="0.3">
      <c r="B4" s="120" t="s">
        <v>31</v>
      </c>
      <c r="C4" s="19" t="s">
        <v>45</v>
      </c>
      <c r="D4" s="19" t="s">
        <v>17</v>
      </c>
      <c r="E4" s="19" t="s">
        <v>18</v>
      </c>
      <c r="F4" s="27" t="s">
        <v>119</v>
      </c>
      <c r="G4" s="28" t="s">
        <v>117</v>
      </c>
    </row>
    <row r="5" spans="1:7" x14ac:dyDescent="0.25">
      <c r="B5" s="109" t="s">
        <v>32</v>
      </c>
      <c r="C5" s="14">
        <v>166776</v>
      </c>
      <c r="D5" s="14">
        <v>144937</v>
      </c>
      <c r="E5" s="14">
        <v>162500</v>
      </c>
      <c r="F5" s="25">
        <v>114152</v>
      </c>
      <c r="G5" s="29">
        <v>152205.01719000001</v>
      </c>
    </row>
    <row r="6" spans="1:7" x14ac:dyDescent="0.25">
      <c r="B6" s="109" t="s">
        <v>47</v>
      </c>
      <c r="C6" s="14">
        <f>SUM(C7:C8)</f>
        <v>782715</v>
      </c>
      <c r="D6" s="14">
        <f>SUM(D7:D8)</f>
        <v>834498</v>
      </c>
      <c r="E6" s="14">
        <f>SUM(E7:E8)</f>
        <v>917074</v>
      </c>
      <c r="F6" s="25">
        <f>SUM(F7:F8)</f>
        <v>902658</v>
      </c>
      <c r="G6" s="29">
        <f>SUM(G7:G8)</f>
        <v>883886.5037</v>
      </c>
    </row>
    <row r="7" spans="1:7" x14ac:dyDescent="0.25">
      <c r="B7" s="121" t="s">
        <v>33</v>
      </c>
      <c r="C7" s="16">
        <v>88763</v>
      </c>
      <c r="D7" s="16">
        <v>116688</v>
      </c>
      <c r="E7" s="16">
        <v>125855</v>
      </c>
      <c r="F7" s="24">
        <v>154855</v>
      </c>
      <c r="G7" s="30">
        <v>154266.68633999999</v>
      </c>
    </row>
    <row r="8" spans="1:7" x14ac:dyDescent="0.25">
      <c r="B8" s="121" t="s">
        <v>48</v>
      </c>
      <c r="C8" s="16">
        <v>693952</v>
      </c>
      <c r="D8" s="16">
        <v>717810</v>
      </c>
      <c r="E8" s="16">
        <v>791219</v>
      </c>
      <c r="F8" s="24">
        <v>747803</v>
      </c>
      <c r="G8" s="30">
        <v>729619.81735999999</v>
      </c>
    </row>
    <row r="9" spans="1:7" x14ac:dyDescent="0.25">
      <c r="B9" s="109" t="s">
        <v>34</v>
      </c>
      <c r="C9" s="14">
        <v>115951</v>
      </c>
      <c r="D9" s="14">
        <v>106760</v>
      </c>
      <c r="E9" s="14">
        <v>110373</v>
      </c>
      <c r="F9" s="25">
        <v>117440</v>
      </c>
      <c r="G9" s="29">
        <v>118681.56336</v>
      </c>
    </row>
    <row r="10" spans="1:7" x14ac:dyDescent="0.25">
      <c r="B10" s="109" t="s">
        <v>49</v>
      </c>
      <c r="C10" s="14">
        <v>7318</v>
      </c>
      <c r="D10" s="14">
        <v>9517</v>
      </c>
      <c r="E10" s="14">
        <v>12477</v>
      </c>
      <c r="F10" s="25">
        <v>18397</v>
      </c>
      <c r="G10" s="29">
        <v>18971.22408</v>
      </c>
    </row>
    <row r="11" spans="1:7" x14ac:dyDescent="0.25">
      <c r="B11" s="109" t="s">
        <v>54</v>
      </c>
      <c r="C11" s="14">
        <f t="shared" ref="C11:E11" si="0">SUM(C12:C13)</f>
        <v>110844</v>
      </c>
      <c r="D11" s="14">
        <f t="shared" si="0"/>
        <v>114588</v>
      </c>
      <c r="E11" s="14">
        <f t="shared" si="0"/>
        <v>111282</v>
      </c>
      <c r="F11" s="25">
        <f t="shared" ref="F11:G11" si="1">SUM(F12:F13)</f>
        <v>111009</v>
      </c>
      <c r="G11" s="29">
        <f t="shared" si="1"/>
        <v>110557.40940999999</v>
      </c>
    </row>
    <row r="12" spans="1:7" x14ac:dyDescent="0.25">
      <c r="B12" s="121" t="s">
        <v>52</v>
      </c>
      <c r="C12" s="16">
        <v>43386</v>
      </c>
      <c r="D12" s="16">
        <v>47918</v>
      </c>
      <c r="E12" s="16">
        <v>45334</v>
      </c>
      <c r="F12" s="24">
        <v>45103</v>
      </c>
      <c r="G12" s="30">
        <v>44843.768629999999</v>
      </c>
    </row>
    <row r="13" spans="1:7" x14ac:dyDescent="0.25">
      <c r="B13" s="121" t="s">
        <v>53</v>
      </c>
      <c r="C13" s="16">
        <v>67458</v>
      </c>
      <c r="D13" s="16">
        <v>66670</v>
      </c>
      <c r="E13" s="16">
        <v>65948</v>
      </c>
      <c r="F13" s="24">
        <v>65906</v>
      </c>
      <c r="G13" s="30">
        <v>65713.640780000002</v>
      </c>
    </row>
    <row r="14" spans="1:7" x14ac:dyDescent="0.25">
      <c r="B14" s="109" t="s">
        <v>35</v>
      </c>
      <c r="C14" s="14">
        <v>7593</v>
      </c>
      <c r="D14" s="14">
        <v>11845</v>
      </c>
      <c r="E14" s="14">
        <v>12688</v>
      </c>
      <c r="F14" s="25">
        <v>12859</v>
      </c>
      <c r="G14" s="29">
        <v>13321.054469999999</v>
      </c>
    </row>
    <row r="15" spans="1:7" ht="16.5" thickBot="1" x14ac:dyDescent="0.3">
      <c r="B15" s="109" t="s">
        <v>36</v>
      </c>
      <c r="C15" s="14">
        <v>109552</v>
      </c>
      <c r="D15" s="14">
        <v>114481</v>
      </c>
      <c r="E15" s="14">
        <v>110139</v>
      </c>
      <c r="F15" s="25">
        <v>112847</v>
      </c>
      <c r="G15" s="29">
        <v>120953.07895999998</v>
      </c>
    </row>
    <row r="16" spans="1:7" ht="16.5" thickBot="1" x14ac:dyDescent="0.3">
      <c r="B16" s="116" t="s">
        <v>64</v>
      </c>
      <c r="C16" s="21">
        <f>SUM(C5,C6,C9,C10,C11,C14,C15)</f>
        <v>1300749</v>
      </c>
      <c r="D16" s="21">
        <f t="shared" ref="D16:G16" si="2">SUM(D5,D6,D9,D10,D11,D14,D15)</f>
        <v>1336626</v>
      </c>
      <c r="E16" s="21">
        <f t="shared" si="2"/>
        <v>1436533</v>
      </c>
      <c r="F16" s="26">
        <f t="shared" si="2"/>
        <v>1389362</v>
      </c>
      <c r="G16" s="31">
        <f t="shared" si="2"/>
        <v>1418575.8511700004</v>
      </c>
    </row>
    <row r="17" spans="2:11" s="4" customFormat="1" ht="9" customHeight="1" x14ac:dyDescent="0.25">
      <c r="B17" s="47"/>
      <c r="C17" s="67"/>
      <c r="D17" s="67"/>
      <c r="E17" s="67"/>
      <c r="F17" s="67"/>
      <c r="G17" s="67"/>
      <c r="H17" s="67"/>
      <c r="I17" s="67"/>
      <c r="J17" s="67"/>
      <c r="K17" s="68"/>
    </row>
    <row r="18" spans="2:11" s="4" customFormat="1" ht="15" x14ac:dyDescent="0.25">
      <c r="B18" s="122"/>
      <c r="C18" s="126"/>
      <c r="D18" s="126"/>
      <c r="E18" s="126"/>
      <c r="F18" s="126"/>
      <c r="G18" s="127" t="s">
        <v>97</v>
      </c>
      <c r="H18" s="69"/>
      <c r="J18" s="69"/>
    </row>
    <row r="19" spans="2:11" x14ac:dyDescent="0.25">
      <c r="B19" s="123"/>
      <c r="C19" s="12"/>
      <c r="D19" s="12"/>
      <c r="E19" s="12"/>
      <c r="F19" s="12"/>
      <c r="G19" s="12"/>
    </row>
    <row r="21" spans="2:11" ht="16.5" thickBot="1" x14ac:dyDescent="0.3">
      <c r="B21" s="120" t="s">
        <v>38</v>
      </c>
      <c r="C21" s="19" t="s">
        <v>45</v>
      </c>
      <c r="D21" s="19" t="s">
        <v>17</v>
      </c>
      <c r="E21" s="19" t="s">
        <v>18</v>
      </c>
      <c r="F21" s="27" t="s">
        <v>119</v>
      </c>
      <c r="G21" s="28" t="s">
        <v>117</v>
      </c>
    </row>
    <row r="22" spans="2:11" x14ac:dyDescent="0.25">
      <c r="B22" s="109" t="s">
        <v>46</v>
      </c>
      <c r="C22" s="14">
        <v>211889</v>
      </c>
      <c r="D22" s="14">
        <v>207608</v>
      </c>
      <c r="E22" s="14">
        <v>174445</v>
      </c>
      <c r="F22" s="25">
        <v>202433</v>
      </c>
      <c r="G22" s="29">
        <v>205014.57178</v>
      </c>
    </row>
    <row r="23" spans="2:11" x14ac:dyDescent="0.25">
      <c r="B23" s="109" t="s">
        <v>37</v>
      </c>
      <c r="C23" s="14">
        <v>3385</v>
      </c>
      <c r="D23" s="14">
        <v>13584</v>
      </c>
      <c r="E23" s="14">
        <v>15167</v>
      </c>
      <c r="F23" s="25">
        <v>11628</v>
      </c>
      <c r="G23" s="29">
        <v>10257.9745</v>
      </c>
    </row>
    <row r="24" spans="2:11" x14ac:dyDescent="0.25">
      <c r="B24" s="109" t="s">
        <v>42</v>
      </c>
      <c r="C24" s="14">
        <f>SUM(C25:C27)</f>
        <v>725891</v>
      </c>
      <c r="D24" s="14">
        <f>SUM(D25:D27)</f>
        <v>725860</v>
      </c>
      <c r="E24" s="14">
        <f>SUM(E25:E27)</f>
        <v>716491</v>
      </c>
      <c r="F24" s="14">
        <f>SUM(F25:F27)</f>
        <v>726457</v>
      </c>
      <c r="G24" s="29">
        <f>SUM(G25:G27)</f>
        <v>734994.87161999987</v>
      </c>
    </row>
    <row r="25" spans="2:11" x14ac:dyDescent="0.25">
      <c r="B25" s="121" t="s">
        <v>50</v>
      </c>
      <c r="C25" s="16">
        <v>428118</v>
      </c>
      <c r="D25" s="16">
        <v>443115</v>
      </c>
      <c r="E25" s="16">
        <v>446423</v>
      </c>
      <c r="F25" s="24">
        <v>456151</v>
      </c>
      <c r="G25" s="30">
        <v>453944.31306999997</v>
      </c>
    </row>
    <row r="26" spans="2:11" x14ac:dyDescent="0.25">
      <c r="B26" s="121" t="s">
        <v>55</v>
      </c>
      <c r="C26" s="16">
        <v>0</v>
      </c>
      <c r="D26" s="16">
        <v>6115</v>
      </c>
      <c r="E26" s="16">
        <v>4622</v>
      </c>
      <c r="F26" s="24">
        <v>4622</v>
      </c>
      <c r="G26" s="30">
        <v>4622.4504699999998</v>
      </c>
    </row>
    <row r="27" spans="2:11" x14ac:dyDescent="0.25">
      <c r="B27" s="121" t="s">
        <v>51</v>
      </c>
      <c r="C27" s="16">
        <v>297773</v>
      </c>
      <c r="D27" s="16">
        <v>276630</v>
      </c>
      <c r="E27" s="16">
        <v>265446</v>
      </c>
      <c r="F27" s="24">
        <v>265684</v>
      </c>
      <c r="G27" s="30">
        <v>276428.10807999998</v>
      </c>
    </row>
    <row r="28" spans="2:11" x14ac:dyDescent="0.25">
      <c r="B28" s="109" t="s">
        <v>43</v>
      </c>
      <c r="C28" s="14">
        <v>24652</v>
      </c>
      <c r="D28" s="14">
        <v>22816</v>
      </c>
      <c r="E28" s="14">
        <v>16849</v>
      </c>
      <c r="F28" s="25">
        <v>17105</v>
      </c>
      <c r="G28" s="29">
        <v>19587.53256</v>
      </c>
    </row>
    <row r="29" spans="2:11" ht="16.5" thickBot="1" x14ac:dyDescent="0.3">
      <c r="B29" s="109" t="s">
        <v>44</v>
      </c>
      <c r="C29" s="14">
        <v>46728</v>
      </c>
      <c r="D29" s="14">
        <v>41698</v>
      </c>
      <c r="E29" s="14">
        <v>46222</v>
      </c>
      <c r="F29" s="25">
        <v>47851</v>
      </c>
      <c r="G29" s="29">
        <v>65977.596400000009</v>
      </c>
    </row>
    <row r="30" spans="2:11" ht="16.5" thickBot="1" x14ac:dyDescent="0.3">
      <c r="B30" s="116" t="s">
        <v>39</v>
      </c>
      <c r="C30" s="22">
        <f t="shared" ref="C30" si="3">SUM(C29,C28,C24,C23,C22)</f>
        <v>1012545</v>
      </c>
      <c r="D30" s="22">
        <f t="shared" ref="D30" si="4">SUM(D29,D28,D24,D23,D22)</f>
        <v>1011566</v>
      </c>
      <c r="E30" s="22">
        <f>SUM(E29,E28,E24,E23,E22)</f>
        <v>969174</v>
      </c>
      <c r="F30" s="22">
        <f>SUM(F29,F28,F24,F23,F22)</f>
        <v>1005474</v>
      </c>
      <c r="G30" s="32">
        <f t="shared" ref="G30" si="5">SUM(G29,G28,G24,G23,G22)</f>
        <v>1035832.5468599999</v>
      </c>
    </row>
    <row r="31" spans="2:11" x14ac:dyDescent="0.25">
      <c r="B31" s="124" t="s">
        <v>89</v>
      </c>
      <c r="C31" s="16">
        <v>273634</v>
      </c>
      <c r="D31" s="16">
        <v>287881</v>
      </c>
      <c r="E31" s="16">
        <v>422727</v>
      </c>
      <c r="F31" s="24">
        <v>333668</v>
      </c>
      <c r="G31" s="30">
        <v>335579.90823728195</v>
      </c>
    </row>
    <row r="32" spans="2:11" ht="16.5" thickBot="1" x14ac:dyDescent="0.3">
      <c r="B32" s="124" t="s">
        <v>90</v>
      </c>
      <c r="C32" s="16">
        <v>14570</v>
      </c>
      <c r="D32" s="16">
        <v>37179</v>
      </c>
      <c r="E32" s="16">
        <v>44632</v>
      </c>
      <c r="F32" s="24">
        <v>50220</v>
      </c>
      <c r="G32" s="30">
        <v>47163.396070000003</v>
      </c>
    </row>
    <row r="33" spans="2:11" ht="16.5" thickBot="1" x14ac:dyDescent="0.3">
      <c r="B33" s="116" t="s">
        <v>40</v>
      </c>
      <c r="C33" s="22">
        <f t="shared" ref="C33" si="6">SUM(C31:C32)</f>
        <v>288204</v>
      </c>
      <c r="D33" s="22">
        <f t="shared" ref="D33" si="7">SUM(D31:D32)</f>
        <v>325060</v>
      </c>
      <c r="E33" s="22">
        <f>SUM(E31:E32)</f>
        <v>467359</v>
      </c>
      <c r="F33" s="22">
        <f>SUM(F31:F32)</f>
        <v>383888</v>
      </c>
      <c r="G33" s="32">
        <f t="shared" ref="G33" si="8">SUM(G31:G32)</f>
        <v>382743.30430728197</v>
      </c>
    </row>
    <row r="34" spans="2:11" ht="16.5" thickBot="1" x14ac:dyDescent="0.3">
      <c r="B34" s="116" t="s">
        <v>41</v>
      </c>
      <c r="C34" s="22">
        <f>C33+C30</f>
        <v>1300749</v>
      </c>
      <c r="D34" s="22">
        <f>D33+D30</f>
        <v>1336626</v>
      </c>
      <c r="E34" s="22">
        <f>E33+E30</f>
        <v>1436533</v>
      </c>
      <c r="F34" s="22">
        <f>F33+F30</f>
        <v>1389362</v>
      </c>
      <c r="G34" s="32">
        <f>G33+G30</f>
        <v>1418575.8511672819</v>
      </c>
    </row>
    <row r="35" spans="2:11" s="4" customFormat="1" ht="9" customHeight="1" x14ac:dyDescent="0.25">
      <c r="B35" s="47"/>
      <c r="C35" s="67"/>
      <c r="D35" s="67"/>
      <c r="E35" s="67"/>
      <c r="F35" s="67"/>
      <c r="G35" s="67"/>
      <c r="H35" s="67"/>
      <c r="I35" s="67"/>
      <c r="J35" s="67"/>
      <c r="K35" s="68"/>
    </row>
    <row r="36" spans="2:11" s="4" customFormat="1" ht="15" x14ac:dyDescent="0.25">
      <c r="B36" s="122"/>
      <c r="C36" s="126"/>
      <c r="D36" s="126"/>
      <c r="E36" s="126"/>
      <c r="F36" s="126"/>
      <c r="G36" s="127" t="s">
        <v>97</v>
      </c>
      <c r="H36" s="69"/>
      <c r="J36" s="69"/>
    </row>
    <row r="37" spans="2:11" x14ac:dyDescent="0.25">
      <c r="B37" s="123"/>
      <c r="C37" s="12"/>
      <c r="D37" s="12"/>
      <c r="E37" s="12"/>
      <c r="F37" s="12"/>
      <c r="G37" s="12"/>
    </row>
    <row r="38" spans="2:11" x14ac:dyDescent="0.25">
      <c r="C38" s="13" t="str">
        <f>IF(C34=C16,"OK","NOT OK")</f>
        <v>OK</v>
      </c>
      <c r="D38" s="13" t="str">
        <f>IF(D34=D16,"OK","NOT OK")</f>
        <v>OK</v>
      </c>
      <c r="E38" s="13" t="str">
        <f>IF(E34=E16,"OK","NOT OK")</f>
        <v>OK</v>
      </c>
      <c r="F38" s="13"/>
      <c r="G38" s="13" t="str">
        <f>IF(G34=G16,"OK","NOT OK")</f>
        <v>NOT OK</v>
      </c>
    </row>
  </sheetData>
  <conditionalFormatting sqref="G38">
    <cfRule type="cellIs" dxfId="9" priority="9" operator="equal">
      <formula>"NOT OK"</formula>
    </cfRule>
    <cfRule type="cellIs" dxfId="8" priority="10" operator="equal">
      <formula>"OK"</formula>
    </cfRule>
  </conditionalFormatting>
  <conditionalFormatting sqref="E38">
    <cfRule type="cellIs" dxfId="7" priority="3" operator="equal">
      <formula>"NOT OK"</formula>
    </cfRule>
    <cfRule type="cellIs" dxfId="6" priority="4" operator="equal">
      <formula>"OK"</formula>
    </cfRule>
  </conditionalFormatting>
  <conditionalFormatting sqref="F38">
    <cfRule type="cellIs" dxfId="5" priority="1" operator="equal">
      <formula>"NOT OK"</formula>
    </cfRule>
    <cfRule type="cellIs" dxfId="4" priority="2" operator="equal">
      <formula>"OK"</formula>
    </cfRule>
  </conditionalFormatting>
  <conditionalFormatting sqref="C38">
    <cfRule type="cellIs" dxfId="3" priority="7" operator="equal">
      <formula>"NOT OK"</formula>
    </cfRule>
    <cfRule type="cellIs" dxfId="2" priority="8" operator="equal">
      <formula>"OK"</formula>
    </cfRule>
  </conditionalFormatting>
  <conditionalFormatting sqref="D38">
    <cfRule type="cellIs" dxfId="1" priority="5" operator="equal">
      <formula>"NOT OK"</formula>
    </cfRule>
    <cfRule type="cellIs" dxfId="0" priority="6" operator="equal">
      <formula>"OK"</formula>
    </cfRule>
  </conditionalFormatting>
  <hyperlinks>
    <hyperlink ref="A2" location="'Financial supplement&gt;&gt;&gt;'!A1" display="INDEX" xr:uid="{EAE12798-063E-4B7F-BD9D-0865C96A1E21}"/>
  </hyperlinks>
  <pageMargins left="0.7" right="0.7" top="0.75" bottom="0.75" header="0.3" footer="0.3"/>
  <pageSetup paperSize="9" orientation="portrait" r:id="rId1"/>
  <ignoredErrors>
    <ignoredError sqref="C19:D21 C6:D16 C22:D24 E19:E21 E6:E18 E22:E24 G17:G20 F6:F10 F12:F24 G6:G11 G24" formulaRange="1"/>
    <ignoredError sqref="D33" formula="1"/>
    <ignoredError sqref="F11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dimension ref="A1:M26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1" customWidth="1"/>
    <col min="2" max="2" width="73.42578125" style="1" bestFit="1" customWidth="1" collapsed="1"/>
    <col min="3" max="5" width="13.28515625" style="1" customWidth="1"/>
    <col min="6" max="7" width="13.28515625" style="1" hidden="1" customWidth="1" outlineLevel="1"/>
    <col min="8" max="8" width="13.28515625" style="1" customWidth="1" collapsed="1"/>
    <col min="9" max="10" width="13.28515625" style="1" customWidth="1"/>
    <col min="11" max="11" width="3" style="1" customWidth="1"/>
    <col min="12" max="16384" width="11.42578125" style="1"/>
  </cols>
  <sheetData>
    <row r="1" spans="1:13" ht="16.5" customHeight="1" x14ac:dyDescent="0.25"/>
    <row r="2" spans="1:13" ht="18.75" customHeight="1" thickBot="1" x14ac:dyDescent="0.3">
      <c r="A2" s="105" t="s">
        <v>109</v>
      </c>
      <c r="B2" s="23" t="s">
        <v>125</v>
      </c>
      <c r="C2" s="118"/>
      <c r="D2" s="118"/>
      <c r="E2" s="118"/>
      <c r="F2" s="118"/>
      <c r="G2" s="118"/>
      <c r="H2" s="118"/>
      <c r="I2" s="118"/>
      <c r="J2" s="118"/>
      <c r="L2" s="118" t="s">
        <v>122</v>
      </c>
      <c r="M2" s="118"/>
    </row>
    <row r="3" spans="1:13" ht="15.75" x14ac:dyDescent="0.25">
      <c r="A3" s="33"/>
      <c r="B3" s="34"/>
      <c r="C3" s="128"/>
      <c r="D3" s="47"/>
      <c r="E3" s="128"/>
      <c r="F3" s="128"/>
      <c r="G3" s="128"/>
      <c r="H3" s="128"/>
      <c r="I3" s="128"/>
      <c r="J3" s="128"/>
    </row>
    <row r="4" spans="1:13" ht="16.5" thickBot="1" x14ac:dyDescent="0.3">
      <c r="A4" s="33"/>
      <c r="B4" s="39"/>
      <c r="C4" s="19" t="s">
        <v>45</v>
      </c>
      <c r="D4" s="19" t="s">
        <v>17</v>
      </c>
      <c r="E4" s="19" t="s">
        <v>18</v>
      </c>
      <c r="F4" s="19" t="s">
        <v>120</v>
      </c>
      <c r="G4" s="19" t="s">
        <v>119</v>
      </c>
      <c r="H4" s="19" t="s">
        <v>121</v>
      </c>
      <c r="I4" s="19" t="s">
        <v>118</v>
      </c>
      <c r="J4" s="28" t="s">
        <v>117</v>
      </c>
      <c r="L4" s="19" t="s">
        <v>123</v>
      </c>
      <c r="M4" s="28" t="s">
        <v>124</v>
      </c>
    </row>
    <row r="5" spans="1:13" ht="15.75" x14ac:dyDescent="0.25">
      <c r="A5" s="33"/>
      <c r="B5" s="34" t="s">
        <v>65</v>
      </c>
      <c r="C5" s="17">
        <v>853119</v>
      </c>
      <c r="D5" s="17">
        <v>891295</v>
      </c>
      <c r="E5" s="17">
        <v>898614</v>
      </c>
      <c r="F5" s="17">
        <v>451910</v>
      </c>
      <c r="G5" s="17">
        <v>456465</v>
      </c>
      <c r="H5" s="17">
        <v>671237.88711999997</v>
      </c>
      <c r="I5" s="17">
        <v>675056.76400999993</v>
      </c>
      <c r="J5" s="37">
        <v>682637.5491399999</v>
      </c>
      <c r="L5" s="17">
        <f>I5-F5</f>
        <v>223146.76400999993</v>
      </c>
      <c r="M5" s="37">
        <f>J5-G5</f>
        <v>226172.5491399999</v>
      </c>
    </row>
    <row r="6" spans="1:13" ht="15.75" x14ac:dyDescent="0.25">
      <c r="A6" s="33"/>
      <c r="B6" s="34" t="s">
        <v>66</v>
      </c>
      <c r="C6" s="17">
        <v>816289</v>
      </c>
      <c r="D6" s="17">
        <v>854762</v>
      </c>
      <c r="E6" s="17">
        <v>878177</v>
      </c>
      <c r="F6" s="17">
        <v>434400</v>
      </c>
      <c r="G6" s="17">
        <v>435993</v>
      </c>
      <c r="H6" s="17">
        <v>641351.88182999962</v>
      </c>
      <c r="I6" s="17">
        <v>654226.95956999995</v>
      </c>
      <c r="J6" s="37">
        <v>658532.16795000026</v>
      </c>
      <c r="L6" s="17">
        <f t="shared" ref="L6:L18" si="0">I6-F6</f>
        <v>219826.95956999995</v>
      </c>
      <c r="M6" s="37">
        <f t="shared" ref="M6:M18" si="1">J6-G6</f>
        <v>222539.16795000026</v>
      </c>
    </row>
    <row r="7" spans="1:13" ht="15.75" x14ac:dyDescent="0.25">
      <c r="A7" s="33"/>
      <c r="B7" s="85" t="s">
        <v>9</v>
      </c>
      <c r="C7" s="36">
        <v>-528029</v>
      </c>
      <c r="D7" s="36">
        <v>-580987</v>
      </c>
      <c r="E7" s="36">
        <v>-540064</v>
      </c>
      <c r="F7" s="36">
        <v>-279624</v>
      </c>
      <c r="G7" s="36">
        <v>-284885</v>
      </c>
      <c r="H7" s="36">
        <v>-434879.50449328037</v>
      </c>
      <c r="I7" s="36">
        <v>-404121.66815101047</v>
      </c>
      <c r="J7" s="38">
        <v>-434205.32618606143</v>
      </c>
      <c r="L7" s="36">
        <f t="shared" si="0"/>
        <v>-124497.66815101047</v>
      </c>
      <c r="M7" s="38">
        <f t="shared" si="1"/>
        <v>-149320.32618606143</v>
      </c>
    </row>
    <row r="8" spans="1:13" ht="15.75" x14ac:dyDescent="0.25">
      <c r="A8" s="33"/>
      <c r="B8" s="85" t="s">
        <v>10</v>
      </c>
      <c r="C8" s="36">
        <v>-196176</v>
      </c>
      <c r="D8" s="36">
        <v>-199919</v>
      </c>
      <c r="E8" s="36">
        <v>-209603</v>
      </c>
      <c r="F8" s="36">
        <v>-101365</v>
      </c>
      <c r="G8" s="36">
        <v>-97485</v>
      </c>
      <c r="H8" s="36">
        <v>-149071.66064898294</v>
      </c>
      <c r="I8" s="36">
        <v>-154592.63530112992</v>
      </c>
      <c r="J8" s="38">
        <v>-149806.46006821495</v>
      </c>
      <c r="L8" s="36">
        <f t="shared" si="0"/>
        <v>-53227.635301129922</v>
      </c>
      <c r="M8" s="38">
        <f t="shared" si="1"/>
        <v>-52321.460068214947</v>
      </c>
    </row>
    <row r="9" spans="1:13" ht="15.75" x14ac:dyDescent="0.25">
      <c r="A9" s="33"/>
      <c r="B9" s="85" t="s">
        <v>11</v>
      </c>
      <c r="C9" s="36">
        <v>25728</v>
      </c>
      <c r="D9" s="36">
        <v>29794</v>
      </c>
      <c r="E9" s="36">
        <v>17429</v>
      </c>
      <c r="F9" s="36">
        <v>8623</v>
      </c>
      <c r="G9" s="36">
        <v>9516</v>
      </c>
      <c r="H9" s="36">
        <v>23267.081610000001</v>
      </c>
      <c r="I9" s="36">
        <v>14051.203730000003</v>
      </c>
      <c r="J9" s="38">
        <v>15089.09052</v>
      </c>
      <c r="L9" s="36">
        <f t="shared" si="0"/>
        <v>5428.2037300000029</v>
      </c>
      <c r="M9" s="38">
        <f t="shared" si="1"/>
        <v>5573.0905199999997</v>
      </c>
    </row>
    <row r="10" spans="1:13" ht="15.75" x14ac:dyDescent="0.25">
      <c r="A10" s="33"/>
      <c r="B10" s="34" t="s">
        <v>0</v>
      </c>
      <c r="C10" s="17">
        <f t="shared" ref="C10:J10" si="2">SUM(C6:C9)</f>
        <v>117812</v>
      </c>
      <c r="D10" s="17">
        <f t="shared" si="2"/>
        <v>103650</v>
      </c>
      <c r="E10" s="17">
        <f t="shared" si="2"/>
        <v>145939</v>
      </c>
      <c r="F10" s="17">
        <f t="shared" si="2"/>
        <v>62034</v>
      </c>
      <c r="G10" s="17">
        <f t="shared" si="2"/>
        <v>63139</v>
      </c>
      <c r="H10" s="17">
        <f t="shared" si="2"/>
        <v>80667.798297736299</v>
      </c>
      <c r="I10" s="17">
        <f t="shared" si="2"/>
        <v>109563.85984785957</v>
      </c>
      <c r="J10" s="37">
        <f t="shared" si="2"/>
        <v>89609.472215723887</v>
      </c>
      <c r="L10" s="17">
        <f t="shared" si="0"/>
        <v>47529.859847859567</v>
      </c>
      <c r="M10" s="37">
        <f t="shared" si="1"/>
        <v>26470.472215723887</v>
      </c>
    </row>
    <row r="11" spans="1:13" ht="15.75" x14ac:dyDescent="0.25">
      <c r="A11" s="33"/>
      <c r="B11" s="85" t="s">
        <v>84</v>
      </c>
      <c r="C11" s="36">
        <v>52021</v>
      </c>
      <c r="D11" s="36">
        <v>70687</v>
      </c>
      <c r="E11" s="36">
        <v>76613</v>
      </c>
      <c r="F11" s="36">
        <v>34974</v>
      </c>
      <c r="G11" s="36">
        <v>22769</v>
      </c>
      <c r="H11" s="36">
        <v>54355.569459999992</v>
      </c>
      <c r="I11" s="36">
        <v>50657.768469999995</v>
      </c>
      <c r="J11" s="38">
        <v>39281.246479999987</v>
      </c>
      <c r="L11" s="36">
        <f t="shared" si="0"/>
        <v>15683.768469999995</v>
      </c>
      <c r="M11" s="38">
        <f t="shared" si="1"/>
        <v>16512.246479999987</v>
      </c>
    </row>
    <row r="12" spans="1:13" ht="15.75" x14ac:dyDescent="0.25">
      <c r="A12" s="33"/>
      <c r="B12" s="85" t="s">
        <v>85</v>
      </c>
      <c r="C12" s="36">
        <v>-18547</v>
      </c>
      <c r="D12" s="36">
        <v>-39117</v>
      </c>
      <c r="E12" s="36">
        <v>-47360</v>
      </c>
      <c r="F12" s="36">
        <v>-21932</v>
      </c>
      <c r="G12" s="36">
        <v>-9974</v>
      </c>
      <c r="H12" s="36">
        <v>-32709.224891641526</v>
      </c>
      <c r="I12" s="36">
        <v>-32428.553819042852</v>
      </c>
      <c r="J12" s="38">
        <v>-17173.93199369132</v>
      </c>
      <c r="L12" s="36">
        <f t="shared" si="0"/>
        <v>-10496.553819042852</v>
      </c>
      <c r="M12" s="38">
        <f t="shared" si="1"/>
        <v>-7199.9319936913198</v>
      </c>
    </row>
    <row r="13" spans="1:13" ht="15.75" x14ac:dyDescent="0.25">
      <c r="A13" s="33"/>
      <c r="B13" s="34" t="s">
        <v>86</v>
      </c>
      <c r="C13" s="17">
        <f>SUM(C11:C12)</f>
        <v>33474</v>
      </c>
      <c r="D13" s="17">
        <f t="shared" ref="D13" si="3">SUM(D11:D12)</f>
        <v>31570</v>
      </c>
      <c r="E13" s="17">
        <f t="shared" ref="E13:F13" si="4">SUM(E11:E12)</f>
        <v>29253</v>
      </c>
      <c r="F13" s="17">
        <f t="shared" si="4"/>
        <v>13042</v>
      </c>
      <c r="G13" s="17">
        <f>SUM(G11:G12)</f>
        <v>12795</v>
      </c>
      <c r="H13" s="17">
        <f>SUM(H11:H12)</f>
        <v>21646.344568358465</v>
      </c>
      <c r="I13" s="17">
        <f t="shared" ref="I13:J13" si="5">SUM(I11:I12)</f>
        <v>18229.214650957143</v>
      </c>
      <c r="J13" s="37">
        <f t="shared" si="5"/>
        <v>22107.314486308667</v>
      </c>
      <c r="L13" s="17">
        <f t="shared" si="0"/>
        <v>5187.214650957143</v>
      </c>
      <c r="M13" s="37">
        <f t="shared" si="1"/>
        <v>9312.3144863086673</v>
      </c>
    </row>
    <row r="14" spans="1:13" ht="15.75" x14ac:dyDescent="0.25">
      <c r="A14" s="33"/>
      <c r="B14" s="34" t="s">
        <v>87</v>
      </c>
      <c r="C14" s="17">
        <f>SUM(C13,C10)</f>
        <v>151286</v>
      </c>
      <c r="D14" s="17">
        <f t="shared" ref="D14" si="6">SUM(D13,D10)</f>
        <v>135220</v>
      </c>
      <c r="E14" s="17">
        <f t="shared" ref="E14:F14" si="7">SUM(E13,E10)</f>
        <v>175192</v>
      </c>
      <c r="F14" s="17">
        <f t="shared" si="7"/>
        <v>75076</v>
      </c>
      <c r="G14" s="17">
        <f>SUM(G13,G10)</f>
        <v>75934</v>
      </c>
      <c r="H14" s="17">
        <f>SUM(H13,H10)</f>
        <v>102314.14286609477</v>
      </c>
      <c r="I14" s="17">
        <f t="shared" ref="I14:J14" si="8">SUM(I13,I10)</f>
        <v>127793.07449881671</v>
      </c>
      <c r="J14" s="37">
        <f t="shared" si="8"/>
        <v>111716.78670203255</v>
      </c>
      <c r="L14" s="17">
        <f t="shared" si="0"/>
        <v>52717.074498816713</v>
      </c>
      <c r="M14" s="37">
        <f t="shared" si="1"/>
        <v>35782.78670203255</v>
      </c>
    </row>
    <row r="15" spans="1:13" ht="15.75" x14ac:dyDescent="0.25">
      <c r="A15" s="33"/>
      <c r="B15" s="85" t="s">
        <v>88</v>
      </c>
      <c r="C15" s="36">
        <v>4677</v>
      </c>
      <c r="D15" s="36">
        <v>7617</v>
      </c>
      <c r="E15" s="36">
        <v>4432</v>
      </c>
      <c r="F15" s="36">
        <v>3444</v>
      </c>
      <c r="G15" s="36">
        <v>1684</v>
      </c>
      <c r="H15" s="36">
        <v>5809.7359739047224</v>
      </c>
      <c r="I15" s="36">
        <v>5116.6454408655263</v>
      </c>
      <c r="J15" s="38">
        <v>3360.7093052500841</v>
      </c>
      <c r="L15" s="36">
        <f t="shared" si="0"/>
        <v>1672.6454408655263</v>
      </c>
      <c r="M15" s="38">
        <f t="shared" si="1"/>
        <v>1676.7093052500841</v>
      </c>
    </row>
    <row r="16" spans="1:13" ht="15.75" x14ac:dyDescent="0.25">
      <c r="A16" s="33"/>
      <c r="B16" s="34" t="s">
        <v>56</v>
      </c>
      <c r="C16" s="17">
        <f>SUM(C14:C15)</f>
        <v>155963</v>
      </c>
      <c r="D16" s="17">
        <f t="shared" ref="D16" si="9">SUM(D14:D15)</f>
        <v>142837</v>
      </c>
      <c r="E16" s="17">
        <f t="shared" ref="E16:F16" si="10">SUM(E14:E15)</f>
        <v>179624</v>
      </c>
      <c r="F16" s="17">
        <f t="shared" si="10"/>
        <v>78520</v>
      </c>
      <c r="G16" s="17">
        <f>SUM(G14:G15)</f>
        <v>77618</v>
      </c>
      <c r="H16" s="17">
        <f>SUM(H14:H15)</f>
        <v>108123.8788399995</v>
      </c>
      <c r="I16" s="17">
        <f t="shared" ref="I16:J16" si="11">SUM(I14:I15)</f>
        <v>132909.71993968223</v>
      </c>
      <c r="J16" s="37">
        <f t="shared" si="11"/>
        <v>115077.49600728264</v>
      </c>
      <c r="L16" s="17">
        <f t="shared" si="0"/>
        <v>54389.719939682225</v>
      </c>
      <c r="M16" s="37">
        <f t="shared" si="1"/>
        <v>37459.496007282636</v>
      </c>
    </row>
    <row r="17" spans="1:13" ht="16.5" thickBot="1" x14ac:dyDescent="0.3">
      <c r="A17" s="33"/>
      <c r="B17" s="85" t="s">
        <v>57</v>
      </c>
      <c r="C17" s="36">
        <v>-38752</v>
      </c>
      <c r="D17" s="36">
        <v>-35542</v>
      </c>
      <c r="E17" s="36">
        <v>-44778</v>
      </c>
      <c r="F17" s="36">
        <v>-19631</v>
      </c>
      <c r="G17" s="36">
        <v>-19408</v>
      </c>
      <c r="H17" s="36">
        <v>-26601.341855272254</v>
      </c>
      <c r="I17" s="36">
        <v>-33255.541249920563</v>
      </c>
      <c r="J17" s="38">
        <v>-28784.250481820487</v>
      </c>
      <c r="L17" s="36">
        <f t="shared" si="0"/>
        <v>-13624.541249920563</v>
      </c>
      <c r="M17" s="38">
        <f t="shared" si="1"/>
        <v>-9376.250481820487</v>
      </c>
    </row>
    <row r="18" spans="1:13" ht="16.5" thickBot="1" x14ac:dyDescent="0.3">
      <c r="A18" s="33"/>
      <c r="B18" s="40" t="s">
        <v>58</v>
      </c>
      <c r="C18" s="21">
        <f>SUM(C16:C17)</f>
        <v>117211</v>
      </c>
      <c r="D18" s="21">
        <f t="shared" ref="D18" si="12">SUM(D16:D17)</f>
        <v>107295</v>
      </c>
      <c r="E18" s="21">
        <f t="shared" ref="E18:I18" si="13">SUM(E16:E17)</f>
        <v>134846</v>
      </c>
      <c r="F18" s="21">
        <f t="shared" si="13"/>
        <v>58889</v>
      </c>
      <c r="G18" s="21">
        <f>SUM(G16:G17)</f>
        <v>58210</v>
      </c>
      <c r="H18" s="21">
        <f>SUM(H16:H17)</f>
        <v>81522.536984727238</v>
      </c>
      <c r="I18" s="21">
        <f t="shared" si="13"/>
        <v>99654.178689761669</v>
      </c>
      <c r="J18" s="31">
        <f>SUM(J16:J17)</f>
        <v>86293.245525462145</v>
      </c>
      <c r="L18" s="21">
        <f t="shared" si="0"/>
        <v>40765.178689761669</v>
      </c>
      <c r="M18" s="31">
        <f t="shared" si="1"/>
        <v>28083.245525462145</v>
      </c>
    </row>
    <row r="19" spans="1:13" s="4" customFormat="1" ht="9" customHeight="1" x14ac:dyDescent="0.25"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1:13" s="4" customFormat="1" x14ac:dyDescent="0.25">
      <c r="C20" s="126"/>
      <c r="D20" s="126"/>
      <c r="E20" s="126"/>
      <c r="F20" s="126"/>
      <c r="G20" s="126"/>
      <c r="H20" s="126"/>
      <c r="I20" s="126"/>
      <c r="J20" s="127" t="s">
        <v>97</v>
      </c>
      <c r="K20" s="126"/>
      <c r="L20" s="126"/>
      <c r="M20" s="44" t="s">
        <v>97</v>
      </c>
    </row>
    <row r="21" spans="1:13" x14ac:dyDescent="0.25">
      <c r="B21" s="3"/>
      <c r="D21" s="2"/>
    </row>
    <row r="22" spans="1:13" x14ac:dyDescent="0.25">
      <c r="D22" s="129"/>
    </row>
    <row r="23" spans="1:13" ht="15.75" thickBot="1" x14ac:dyDescent="0.3">
      <c r="B23" s="39"/>
      <c r="C23" s="64" t="s">
        <v>45</v>
      </c>
      <c r="D23" s="64" t="s">
        <v>17</v>
      </c>
      <c r="E23" s="64" t="s">
        <v>18</v>
      </c>
      <c r="F23" s="19" t="s">
        <v>120</v>
      </c>
      <c r="G23" s="19" t="s">
        <v>119</v>
      </c>
      <c r="H23" s="19" t="s">
        <v>121</v>
      </c>
      <c r="I23" s="19" t="s">
        <v>118</v>
      </c>
      <c r="J23" s="66" t="s">
        <v>117</v>
      </c>
      <c r="L23" s="19" t="s">
        <v>123</v>
      </c>
      <c r="M23" s="28" t="s">
        <v>124</v>
      </c>
    </row>
    <row r="24" spans="1:13" x14ac:dyDescent="0.25">
      <c r="B24" s="15" t="s">
        <v>13</v>
      </c>
      <c r="C24" s="68">
        <f>-C7/C6</f>
        <v>0.64686526463054139</v>
      </c>
      <c r="D24" s="68">
        <f t="shared" ref="D24:J24" si="14">-D7/D6</f>
        <v>0.67970616382104021</v>
      </c>
      <c r="E24" s="68">
        <f t="shared" si="14"/>
        <v>0.61498308427572124</v>
      </c>
      <c r="F24" s="68">
        <f t="shared" ref="F24:H24" si="15">-F7/F6</f>
        <v>0.64370165745856356</v>
      </c>
      <c r="G24" s="68">
        <f t="shared" si="15"/>
        <v>0.65341645393389347</v>
      </c>
      <c r="H24" s="68">
        <f t="shared" si="15"/>
        <v>0.67806693457017408</v>
      </c>
      <c r="I24" s="68">
        <f t="shared" si="14"/>
        <v>0.61770867470308044</v>
      </c>
      <c r="J24" s="71">
        <f t="shared" si="14"/>
        <v>0.65935325154689928</v>
      </c>
      <c r="L24" s="68">
        <f>-L7/L6</f>
        <v>0.56634394796042486</v>
      </c>
      <c r="M24" s="71">
        <f t="shared" ref="M24" si="16">-M7/M6</f>
        <v>0.67098447235863878</v>
      </c>
    </row>
    <row r="25" spans="1:13" ht="15.75" thickBot="1" x14ac:dyDescent="0.3">
      <c r="B25" s="15" t="s">
        <v>14</v>
      </c>
      <c r="C25" s="68">
        <f>-(C8+C9)/C6</f>
        <v>0.20880839996618844</v>
      </c>
      <c r="D25" s="68">
        <f t="shared" ref="D25:J25" si="17">-(D8+D9)/D6</f>
        <v>0.19903201124991518</v>
      </c>
      <c r="E25" s="68">
        <f t="shared" si="17"/>
        <v>0.21883287765450474</v>
      </c>
      <c r="F25" s="68">
        <f t="shared" ref="F25:H25" si="18">-(F8+F9)/F6</f>
        <v>0.21349447513812156</v>
      </c>
      <c r="G25" s="68">
        <f t="shared" si="18"/>
        <v>0.20176700084634386</v>
      </c>
      <c r="H25" s="68">
        <f t="shared" si="18"/>
        <v>0.19615531286821644</v>
      </c>
      <c r="I25" s="68">
        <f t="shared" si="17"/>
        <v>0.21482060547230089</v>
      </c>
      <c r="J25" s="71">
        <f t="shared" si="17"/>
        <v>0.2045721926805609</v>
      </c>
      <c r="L25" s="68">
        <f>-(L8+L9)/L6</f>
        <v>0.21744117129504786</v>
      </c>
      <c r="M25" s="71">
        <f t="shared" ref="M25" si="19">-(M8+M9)/M6</f>
        <v>0.21006805219438179</v>
      </c>
    </row>
    <row r="26" spans="1:13" ht="15.75" thickBot="1" x14ac:dyDescent="0.3">
      <c r="B26" s="40" t="s">
        <v>1</v>
      </c>
      <c r="C26" s="72">
        <f>-(C7+C8+C9)/C6</f>
        <v>0.85567366459672989</v>
      </c>
      <c r="D26" s="72">
        <f t="shared" ref="D26:J26" si="20">-(D7+D8+D9)/D6</f>
        <v>0.87873817507095542</v>
      </c>
      <c r="E26" s="72">
        <f t="shared" si="20"/>
        <v>0.83381596193022589</v>
      </c>
      <c r="F26" s="72">
        <f t="shared" ref="F26:H26" si="21">-(F7+F8+F9)/F6</f>
        <v>0.85719613259668503</v>
      </c>
      <c r="G26" s="72">
        <f t="shared" si="21"/>
        <v>0.85518345478023727</v>
      </c>
      <c r="H26" s="72">
        <f t="shared" si="21"/>
        <v>0.8742222474383905</v>
      </c>
      <c r="I26" s="72">
        <f t="shared" si="20"/>
        <v>0.83252928017538153</v>
      </c>
      <c r="J26" s="74">
        <f t="shared" si="20"/>
        <v>0.8639254442274602</v>
      </c>
      <c r="L26" s="72">
        <f>-(L7+L8+L9)/L6</f>
        <v>0.78378511925547267</v>
      </c>
      <c r="M26" s="74">
        <f t="shared" ref="M26" si="22">-(M7+M8+M9)/M6</f>
        <v>0.88105252455302052</v>
      </c>
    </row>
  </sheetData>
  <hyperlinks>
    <hyperlink ref="A2" location="'Financial supplement&gt;&gt;&gt;'!A1" display="INDEX" xr:uid="{050B2492-71B7-4ACD-B3AC-5527F1CC84E5}"/>
  </hyperlinks>
  <pageMargins left="0.7" right="0.7" top="0.75" bottom="0.75" header="0.3" footer="0.3"/>
  <pageSetup paperSize="9" orientation="portrait" r:id="rId1"/>
  <ignoredErrors>
    <ignoredError sqref="C10:E10 F10:J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dimension ref="A1:AE12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10.7109375" style="4" customWidth="1"/>
    <col min="2" max="2" width="14.28515625" style="4" customWidth="1"/>
    <col min="3" max="5" width="11.28515625" style="4" customWidth="1"/>
    <col min="6" max="7" width="11.28515625" style="4" hidden="1" customWidth="1" outlineLevel="1"/>
    <col min="8" max="8" width="11.28515625" style="4" customWidth="1" collapsed="1"/>
    <col min="9" max="11" width="11.28515625" style="4" customWidth="1"/>
    <col min="12" max="12" width="1.5703125" style="9" customWidth="1"/>
    <col min="13" max="15" width="11.28515625" style="4" customWidth="1"/>
    <col min="16" max="17" width="11.28515625" style="4" hidden="1" customWidth="1" outlineLevel="1"/>
    <col min="18" max="18" width="11.28515625" style="4" customWidth="1" collapsed="1"/>
    <col min="19" max="21" width="11.28515625" style="4" customWidth="1"/>
    <col min="22" max="22" width="1.5703125" style="9" customWidth="1"/>
    <col min="23" max="25" width="11.28515625" style="4" customWidth="1"/>
    <col min="26" max="27" width="11.28515625" style="4" hidden="1" customWidth="1" outlineLevel="1"/>
    <col min="28" max="28" width="11.28515625" style="4" customWidth="1" collapsed="1"/>
    <col min="29" max="31" width="11.28515625" style="4" customWidth="1"/>
    <col min="32" max="16384" width="11.42578125" style="4"/>
  </cols>
  <sheetData>
    <row r="1" spans="1:31" ht="16.5" customHeight="1" x14ac:dyDescent="0.25"/>
    <row r="2" spans="1:31" ht="18.75" customHeight="1" thickBot="1" x14ac:dyDescent="0.3">
      <c r="A2" s="105" t="s">
        <v>109</v>
      </c>
      <c r="B2" s="118" t="s">
        <v>115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x14ac:dyDescent="0.25">
      <c r="A3" s="42"/>
      <c r="B3" s="122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</row>
    <row r="4" spans="1:31" x14ac:dyDescent="0.25">
      <c r="A4" s="42"/>
      <c r="B4" s="130"/>
      <c r="C4" s="140" t="s">
        <v>61</v>
      </c>
      <c r="D4" s="140"/>
      <c r="E4" s="140"/>
      <c r="F4" s="140"/>
      <c r="G4" s="140"/>
      <c r="H4" s="140"/>
      <c r="I4" s="140"/>
      <c r="J4" s="140"/>
      <c r="K4" s="140"/>
      <c r="L4" s="43"/>
      <c r="M4" s="140" t="s">
        <v>0</v>
      </c>
      <c r="N4" s="140"/>
      <c r="O4" s="140"/>
      <c r="P4" s="140"/>
      <c r="Q4" s="140"/>
      <c r="R4" s="140"/>
      <c r="S4" s="140"/>
      <c r="T4" s="140"/>
      <c r="U4" s="140"/>
      <c r="V4" s="43"/>
      <c r="W4" s="140" t="s">
        <v>1</v>
      </c>
      <c r="X4" s="140"/>
      <c r="Y4" s="140"/>
      <c r="Z4" s="140"/>
      <c r="AA4" s="140"/>
      <c r="AB4" s="140"/>
      <c r="AC4" s="140"/>
      <c r="AD4" s="140"/>
      <c r="AE4" s="140"/>
    </row>
    <row r="5" spans="1:31" ht="15.75" thickBot="1" x14ac:dyDescent="0.3">
      <c r="A5" s="42"/>
      <c r="B5" s="131"/>
      <c r="C5" s="56" t="s">
        <v>45</v>
      </c>
      <c r="D5" s="56" t="s">
        <v>17</v>
      </c>
      <c r="E5" s="56" t="s">
        <v>18</v>
      </c>
      <c r="F5" s="133" t="s">
        <v>120</v>
      </c>
      <c r="G5" s="133" t="s">
        <v>119</v>
      </c>
      <c r="H5" s="133" t="s">
        <v>121</v>
      </c>
      <c r="I5" s="133" t="s">
        <v>118</v>
      </c>
      <c r="J5" s="57" t="s">
        <v>117</v>
      </c>
      <c r="K5" s="58" t="s">
        <v>2</v>
      </c>
      <c r="L5" s="59"/>
      <c r="M5" s="56" t="s">
        <v>45</v>
      </c>
      <c r="N5" s="56" t="s">
        <v>17</v>
      </c>
      <c r="O5" s="56" t="s">
        <v>18</v>
      </c>
      <c r="P5" s="133" t="s">
        <v>120</v>
      </c>
      <c r="Q5" s="133" t="s">
        <v>119</v>
      </c>
      <c r="R5" s="133" t="s">
        <v>121</v>
      </c>
      <c r="S5" s="133" t="s">
        <v>118</v>
      </c>
      <c r="T5" s="57" t="s">
        <v>117</v>
      </c>
      <c r="U5" s="58" t="s">
        <v>2</v>
      </c>
      <c r="V5" s="59"/>
      <c r="W5" s="56" t="s">
        <v>45</v>
      </c>
      <c r="X5" s="56" t="s">
        <v>17</v>
      </c>
      <c r="Y5" s="56" t="s">
        <v>18</v>
      </c>
      <c r="Z5" s="133" t="s">
        <v>120</v>
      </c>
      <c r="AA5" s="133" t="s">
        <v>119</v>
      </c>
      <c r="AB5" s="133" t="s">
        <v>121</v>
      </c>
      <c r="AC5" s="133" t="s">
        <v>118</v>
      </c>
      <c r="AD5" s="57" t="s">
        <v>117</v>
      </c>
      <c r="AE5" s="134" t="s">
        <v>126</v>
      </c>
    </row>
    <row r="6" spans="1:31" x14ac:dyDescent="0.25">
      <c r="A6" s="42"/>
      <c r="B6" s="124" t="s">
        <v>3</v>
      </c>
      <c r="C6" s="67">
        <v>741178</v>
      </c>
      <c r="D6" s="67">
        <v>761158.29799999995</v>
      </c>
      <c r="E6" s="67">
        <v>754656.36600000004</v>
      </c>
      <c r="F6" s="67">
        <v>377490.58504999999</v>
      </c>
      <c r="G6" s="67">
        <v>373700.42211000004</v>
      </c>
      <c r="H6" s="67">
        <v>573625.1777</v>
      </c>
      <c r="I6" s="67">
        <v>567177.75003999996</v>
      </c>
      <c r="J6" s="144">
        <v>563300.91514000006</v>
      </c>
      <c r="K6" s="49">
        <f>+J6/I6-1</f>
        <v>-6.8353085073004083E-3</v>
      </c>
      <c r="L6" s="49"/>
      <c r="M6" s="67">
        <v>114974</v>
      </c>
      <c r="N6" s="67">
        <v>106533</v>
      </c>
      <c r="O6" s="67">
        <v>146481</v>
      </c>
      <c r="P6" s="67">
        <v>58351</v>
      </c>
      <c r="Q6" s="67">
        <v>60590</v>
      </c>
      <c r="R6" s="67">
        <v>77269.079859267789</v>
      </c>
      <c r="S6" s="67">
        <v>108794.48834439731</v>
      </c>
      <c r="T6" s="144">
        <v>85631.862512646418</v>
      </c>
      <c r="U6" s="49">
        <f>+T6/S6-1</f>
        <v>-0.21290256688765175</v>
      </c>
      <c r="V6" s="49"/>
      <c r="W6" s="60">
        <v>0.83998519180371911</v>
      </c>
      <c r="X6" s="60">
        <v>0.85763501441249534</v>
      </c>
      <c r="Y6" s="60">
        <v>0.80536802173783062</v>
      </c>
      <c r="Z6" s="60">
        <v>0.84404485621970904</v>
      </c>
      <c r="AA6" s="60">
        <v>0.83659919203033395</v>
      </c>
      <c r="AB6" s="60">
        <v>0.86158632267781621</v>
      </c>
      <c r="AC6" s="60">
        <v>0.80661844089481582</v>
      </c>
      <c r="AD6" s="61">
        <v>0.84690835828096978</v>
      </c>
      <c r="AE6" s="135">
        <f>(AD6-AC6)*100</f>
        <v>4.0289917386153951</v>
      </c>
    </row>
    <row r="7" spans="1:31" x14ac:dyDescent="0.25">
      <c r="A7" s="42"/>
      <c r="B7" s="124" t="s">
        <v>4</v>
      </c>
      <c r="C7" s="67">
        <v>100691</v>
      </c>
      <c r="D7" s="67">
        <v>111356.549</v>
      </c>
      <c r="E7" s="67">
        <v>120653.628</v>
      </c>
      <c r="F7" s="67">
        <v>59705.956969999999</v>
      </c>
      <c r="G7" s="67">
        <v>64779.205790000007</v>
      </c>
      <c r="H7" s="67">
        <v>82446.400180000026</v>
      </c>
      <c r="I7" s="67">
        <v>89543.79578</v>
      </c>
      <c r="J7" s="144">
        <v>97044.810309999986</v>
      </c>
      <c r="K7" s="49">
        <f t="shared" ref="K7:K10" si="0">+J7/I7-1</f>
        <v>8.3769226719282885E-2</v>
      </c>
      <c r="L7" s="49"/>
      <c r="M7" s="67">
        <v>8694</v>
      </c>
      <c r="N7" s="67">
        <v>12347</v>
      </c>
      <c r="O7" s="67">
        <v>6684</v>
      </c>
      <c r="P7" s="67">
        <v>6097</v>
      </c>
      <c r="Q7" s="67">
        <v>5090</v>
      </c>
      <c r="R7" s="67">
        <v>8624.6461006365007</v>
      </c>
      <c r="S7" s="67">
        <v>5427.218407247964</v>
      </c>
      <c r="T7" s="144">
        <v>8590.3283707111441</v>
      </c>
      <c r="U7" s="49">
        <f t="shared" ref="U7:U10" si="1">+T7/S7-1</f>
        <v>0.58282341452094455</v>
      </c>
      <c r="V7" s="49"/>
      <c r="W7" s="60">
        <v>0.90591520031166817</v>
      </c>
      <c r="X7" s="60">
        <v>0.87972920319501269</v>
      </c>
      <c r="Y7" s="60">
        <v>0.94007853262331231</v>
      </c>
      <c r="Z7" s="60">
        <v>0.88768668779024995</v>
      </c>
      <c r="AA7" s="60">
        <v>0.91249183371729181</v>
      </c>
      <c r="AB7" s="60">
        <v>0.88654844417606182</v>
      </c>
      <c r="AC7" s="60">
        <v>0.93426737590583953</v>
      </c>
      <c r="AD7" s="61">
        <v>0.90270149047864323</v>
      </c>
      <c r="AE7" s="136">
        <f t="shared" ref="AE7:AE10" si="2">(AD7-AC7)*100</f>
        <v>-3.1565885427196294</v>
      </c>
    </row>
    <row r="8" spans="1:31" x14ac:dyDescent="0.25">
      <c r="A8" s="42"/>
      <c r="B8" s="124" t="s">
        <v>5</v>
      </c>
      <c r="C8" s="67">
        <v>7518</v>
      </c>
      <c r="D8" s="67">
        <v>15744</v>
      </c>
      <c r="E8" s="67">
        <v>21826</v>
      </c>
      <c r="F8" s="67">
        <v>13257.647209999999</v>
      </c>
      <c r="G8" s="67">
        <v>16622.485779999999</v>
      </c>
      <c r="H8" s="67">
        <v>12243.391560000002</v>
      </c>
      <c r="I8" s="67">
        <v>16876.646899999996</v>
      </c>
      <c r="J8" s="144">
        <v>20912.694649999998</v>
      </c>
      <c r="K8" s="49">
        <f t="shared" si="0"/>
        <v>0.23914986039081043</v>
      </c>
      <c r="L8" s="49"/>
      <c r="M8" s="67">
        <v>-7042</v>
      </c>
      <c r="N8" s="67">
        <v>-16346</v>
      </c>
      <c r="O8" s="67">
        <v>-7890</v>
      </c>
      <c r="P8" s="67">
        <v>-2658</v>
      </c>
      <c r="Q8" s="67">
        <v>-3006</v>
      </c>
      <c r="R8" s="67">
        <v>-6229.9020976889951</v>
      </c>
      <c r="S8" s="67">
        <v>-5037.0967525568076</v>
      </c>
      <c r="T8" s="144">
        <v>-5209.2778021447957</v>
      </c>
      <c r="U8" s="49">
        <f t="shared" si="1"/>
        <v>3.4182597247231605E-2</v>
      </c>
      <c r="V8" s="49"/>
      <c r="W8" s="60">
        <v>4.2799254774103401</v>
      </c>
      <c r="X8" s="60">
        <v>22.852941176470587</v>
      </c>
      <c r="Y8" s="60">
        <v>1.656405990016639</v>
      </c>
      <c r="Z8" s="60">
        <v>1.5441852187619376</v>
      </c>
      <c r="AA8" s="60">
        <v>1.4739829706717125</v>
      </c>
      <c r="AB8" s="60">
        <v>2.3088475175085561</v>
      </c>
      <c r="AC8" s="60">
        <v>1.6647337419040928</v>
      </c>
      <c r="AD8" s="61">
        <v>1.5282904972535181</v>
      </c>
      <c r="AE8" s="136">
        <f t="shared" si="2"/>
        <v>-13.644324465057478</v>
      </c>
    </row>
    <row r="9" spans="1:31" ht="15.75" thickBot="1" x14ac:dyDescent="0.3">
      <c r="A9" s="42"/>
      <c r="B9" s="124" t="s">
        <v>6</v>
      </c>
      <c r="C9" s="67">
        <v>3733</v>
      </c>
      <c r="D9" s="67">
        <v>3036</v>
      </c>
      <c r="E9" s="67">
        <v>1478</v>
      </c>
      <c r="F9" s="67">
        <v>1455.98549</v>
      </c>
      <c r="G9" s="67">
        <v>1363.2525899999998</v>
      </c>
      <c r="H9" s="67">
        <v>2922.9176800000005</v>
      </c>
      <c r="I9" s="67">
        <v>1458.5712900000001</v>
      </c>
      <c r="J9" s="144">
        <v>1379.12904</v>
      </c>
      <c r="K9" s="49">
        <f t="shared" si="0"/>
        <v>-5.4465798514380492E-2</v>
      </c>
      <c r="L9" s="49"/>
      <c r="M9" s="67">
        <v>1186</v>
      </c>
      <c r="N9" s="67">
        <v>1116</v>
      </c>
      <c r="O9" s="67">
        <v>664</v>
      </c>
      <c r="P9" s="67">
        <v>248</v>
      </c>
      <c r="Q9" s="67">
        <v>465</v>
      </c>
      <c r="R9" s="67">
        <v>1003.9744355210007</v>
      </c>
      <c r="S9" s="67">
        <v>379.24984877120119</v>
      </c>
      <c r="T9" s="144">
        <v>596.55913451119875</v>
      </c>
      <c r="U9" s="49">
        <f t="shared" si="1"/>
        <v>0.57299768594264822</v>
      </c>
      <c r="V9" s="49"/>
      <c r="W9" s="60">
        <v>0.63110419906687398</v>
      </c>
      <c r="X9" s="60">
        <v>0.63316912972085382</v>
      </c>
      <c r="Y9" s="60">
        <v>0.66899302093718838</v>
      </c>
      <c r="Z9" s="60">
        <v>0.76975401576572056</v>
      </c>
      <c r="AA9" s="60">
        <v>0.31516936671575846</v>
      </c>
      <c r="AB9" s="60">
        <v>0.56801466267811263</v>
      </c>
      <c r="AC9" s="60">
        <v>0.7462364568024481</v>
      </c>
      <c r="AD9" s="61">
        <v>0.42239009208261347</v>
      </c>
      <c r="AE9" s="136">
        <f t="shared" si="2"/>
        <v>-32.384636471983463</v>
      </c>
    </row>
    <row r="10" spans="1:31" ht="15.75" thickBot="1" x14ac:dyDescent="0.3">
      <c r="A10" s="42"/>
      <c r="B10" s="132" t="s">
        <v>7</v>
      </c>
      <c r="C10" s="145">
        <f t="shared" ref="C10:J10" si="3">SUM(C6:C9)</f>
        <v>853120</v>
      </c>
      <c r="D10" s="145">
        <f t="shared" si="3"/>
        <v>891294.84699999995</v>
      </c>
      <c r="E10" s="145">
        <f t="shared" si="3"/>
        <v>898613.99400000006</v>
      </c>
      <c r="F10" s="145">
        <f t="shared" si="3"/>
        <v>451910.17472000001</v>
      </c>
      <c r="G10" s="145">
        <f t="shared" si="3"/>
        <v>456465.36627000006</v>
      </c>
      <c r="H10" s="145">
        <f t="shared" si="3"/>
        <v>671237.88711999997</v>
      </c>
      <c r="I10" s="145">
        <f t="shared" si="3"/>
        <v>675056.76401000004</v>
      </c>
      <c r="J10" s="146">
        <f t="shared" si="3"/>
        <v>682637.54914000002</v>
      </c>
      <c r="K10" s="54">
        <f t="shared" si="0"/>
        <v>1.1229848412996013E-2</v>
      </c>
      <c r="L10" s="48"/>
      <c r="M10" s="145">
        <f t="shared" ref="M10:T10" si="4">SUM(M6:M9)</f>
        <v>117812</v>
      </c>
      <c r="N10" s="145">
        <f t="shared" si="4"/>
        <v>103650</v>
      </c>
      <c r="O10" s="145">
        <f t="shared" si="4"/>
        <v>145939</v>
      </c>
      <c r="P10" s="145">
        <f t="shared" si="4"/>
        <v>62038</v>
      </c>
      <c r="Q10" s="145">
        <f t="shared" si="4"/>
        <v>63139</v>
      </c>
      <c r="R10" s="145">
        <f t="shared" si="4"/>
        <v>80667.798297736299</v>
      </c>
      <c r="S10" s="145">
        <f t="shared" si="4"/>
        <v>109563.85984785965</v>
      </c>
      <c r="T10" s="146">
        <f t="shared" si="4"/>
        <v>89609.472215723959</v>
      </c>
      <c r="U10" s="54">
        <f t="shared" si="1"/>
        <v>-0.1821256357693527</v>
      </c>
      <c r="V10" s="48"/>
      <c r="W10" s="62">
        <v>0.85567366459672978</v>
      </c>
      <c r="X10" s="62">
        <v>0.87873817507095542</v>
      </c>
      <c r="Y10" s="62">
        <v>0.833815961930226</v>
      </c>
      <c r="Z10" s="62">
        <v>0.85718813439399422</v>
      </c>
      <c r="AA10" s="62">
        <v>0.85518345478023727</v>
      </c>
      <c r="AB10" s="62">
        <v>0.8742222474383905</v>
      </c>
      <c r="AC10" s="62">
        <v>0.83252928017538141</v>
      </c>
      <c r="AD10" s="63">
        <v>0.8639254442274602</v>
      </c>
      <c r="AE10" s="137">
        <f t="shared" si="2"/>
        <v>3.139616405207879</v>
      </c>
    </row>
    <row r="11" spans="1:31" ht="9" customHeight="1" x14ac:dyDescent="0.25">
      <c r="A11" s="42"/>
      <c r="B11" s="47"/>
      <c r="C11" s="45"/>
      <c r="D11" s="45"/>
      <c r="E11" s="45"/>
      <c r="F11" s="45"/>
      <c r="G11" s="45"/>
      <c r="H11" s="45"/>
      <c r="I11" s="45"/>
      <c r="J11" s="45"/>
      <c r="K11" s="46"/>
      <c r="L11" s="46"/>
      <c r="M11" s="45"/>
      <c r="N11" s="45"/>
      <c r="O11" s="45"/>
      <c r="P11" s="45"/>
      <c r="Q11" s="45"/>
      <c r="R11" s="45"/>
      <c r="S11" s="45"/>
      <c r="T11" s="45"/>
      <c r="U11" s="46"/>
      <c r="V11" s="46"/>
      <c r="W11" s="45"/>
      <c r="X11" s="45"/>
      <c r="Y11" s="45"/>
      <c r="Z11" s="45"/>
      <c r="AA11" s="45"/>
      <c r="AB11" s="45"/>
      <c r="AC11" s="45"/>
      <c r="AD11" s="45"/>
      <c r="AE11" s="46"/>
    </row>
    <row r="12" spans="1:31" x14ac:dyDescent="0.25">
      <c r="A12" s="42"/>
      <c r="B12" s="122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44" t="s">
        <v>128</v>
      </c>
    </row>
  </sheetData>
  <mergeCells count="3">
    <mergeCell ref="W4:AE4"/>
    <mergeCell ref="C4:K4"/>
    <mergeCell ref="M4:U4"/>
  </mergeCells>
  <hyperlinks>
    <hyperlink ref="A2" location="'Financial supplement&gt;&gt;&gt;'!A1" display="INDEX" xr:uid="{8E88C0D3-649A-4A2F-88B7-2077FCB30B02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dimension ref="A1:N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7" customWidth="1"/>
    <col min="2" max="2" width="49.85546875" style="7" bestFit="1" customWidth="1"/>
    <col min="3" max="5" width="11" style="7" customWidth="1"/>
    <col min="6" max="7" width="11" style="7" hidden="1" customWidth="1" outlineLevel="1"/>
    <col min="8" max="8" width="11" style="7" customWidth="1" collapsed="1"/>
    <col min="9" max="11" width="11" style="7" customWidth="1"/>
    <col min="12" max="12" width="3" style="1" customWidth="1"/>
    <col min="13" max="16384" width="10.85546875" style="7"/>
  </cols>
  <sheetData>
    <row r="1" spans="1:14" ht="16.5" customHeight="1" x14ac:dyDescent="0.2"/>
    <row r="2" spans="1:14" ht="18.75" customHeight="1" thickBot="1" x14ac:dyDescent="0.25">
      <c r="A2" s="105" t="s">
        <v>109</v>
      </c>
      <c r="B2" s="118" t="s">
        <v>8</v>
      </c>
      <c r="C2" s="23"/>
      <c r="D2" s="23"/>
      <c r="E2" s="23"/>
      <c r="F2" s="23"/>
      <c r="G2" s="23"/>
      <c r="H2" s="23"/>
      <c r="I2" s="23"/>
      <c r="J2" s="23"/>
      <c r="K2" s="23"/>
      <c r="M2" s="118" t="s">
        <v>122</v>
      </c>
      <c r="N2" s="118"/>
    </row>
    <row r="4" spans="1:14" s="4" customFormat="1" ht="15.75" thickBot="1" x14ac:dyDescent="0.3">
      <c r="B4" s="131"/>
      <c r="C4" s="64" t="s">
        <v>45</v>
      </c>
      <c r="D4" s="64" t="s">
        <v>17</v>
      </c>
      <c r="E4" s="64" t="s">
        <v>18</v>
      </c>
      <c r="F4" s="64" t="s">
        <v>120</v>
      </c>
      <c r="G4" s="64" t="s">
        <v>119</v>
      </c>
      <c r="H4" s="64" t="s">
        <v>121</v>
      </c>
      <c r="I4" s="65" t="s">
        <v>118</v>
      </c>
      <c r="J4" s="66" t="s">
        <v>117</v>
      </c>
      <c r="K4" s="52" t="s">
        <v>2</v>
      </c>
      <c r="L4" s="1"/>
      <c r="M4" s="65" t="s">
        <v>123</v>
      </c>
      <c r="N4" s="66" t="s">
        <v>124</v>
      </c>
    </row>
    <row r="5" spans="1:14" s="4" customFormat="1" x14ac:dyDescent="0.25">
      <c r="B5" s="47" t="s">
        <v>65</v>
      </c>
      <c r="C5" s="147">
        <v>741178.03300000005</v>
      </c>
      <c r="D5" s="147">
        <v>761158.29799999995</v>
      </c>
      <c r="E5" s="147">
        <v>754656.36600000004</v>
      </c>
      <c r="F5" s="147">
        <v>377490.58505000005</v>
      </c>
      <c r="G5" s="147">
        <v>373700.42211000004</v>
      </c>
      <c r="H5" s="147">
        <v>573625.1777</v>
      </c>
      <c r="I5" s="148">
        <v>567177.75003999996</v>
      </c>
      <c r="J5" s="149">
        <v>563300.91514000006</v>
      </c>
      <c r="K5" s="48">
        <f>+J5/I5-1</f>
        <v>-6.8353085073004083E-3</v>
      </c>
      <c r="L5" s="1"/>
      <c r="M5" s="148">
        <f>I5-F5</f>
        <v>189687.1649899999</v>
      </c>
      <c r="N5" s="149">
        <f>J5-G5</f>
        <v>189600.49303000001</v>
      </c>
    </row>
    <row r="6" spans="1:14" s="4" customFormat="1" x14ac:dyDescent="0.25">
      <c r="B6" s="47" t="s">
        <v>66</v>
      </c>
      <c r="C6" s="147">
        <v>718521</v>
      </c>
      <c r="D6" s="147">
        <v>748309</v>
      </c>
      <c r="E6" s="147">
        <v>752605</v>
      </c>
      <c r="F6" s="147">
        <v>374155</v>
      </c>
      <c r="G6" s="147">
        <v>370806</v>
      </c>
      <c r="H6" s="148">
        <v>558247.43156999955</v>
      </c>
      <c r="I6" s="148">
        <v>562589.77768000006</v>
      </c>
      <c r="J6" s="149">
        <v>559350.34435000038</v>
      </c>
      <c r="K6" s="48">
        <f t="shared" ref="K6:K10" si="0">+J6/I6-1</f>
        <v>-5.7580735706902475E-3</v>
      </c>
      <c r="L6" s="1"/>
      <c r="M6" s="148">
        <f t="shared" ref="M6:N9" si="1">I6-F6</f>
        <v>188434.77768000006</v>
      </c>
      <c r="N6" s="149">
        <f t="shared" si="1"/>
        <v>188544.34435000038</v>
      </c>
    </row>
    <row r="7" spans="1:14" s="4" customFormat="1" x14ac:dyDescent="0.25">
      <c r="B7" s="124" t="s">
        <v>9</v>
      </c>
      <c r="C7" s="67">
        <v>-476725</v>
      </c>
      <c r="D7" s="67">
        <v>-519666.00000000006</v>
      </c>
      <c r="E7" s="67">
        <v>-465382</v>
      </c>
      <c r="F7" s="67">
        <v>-245650</v>
      </c>
      <c r="G7" s="67">
        <v>-244740</v>
      </c>
      <c r="H7" s="67">
        <v>-389426.50000539894</v>
      </c>
      <c r="I7" s="150">
        <v>-349852.0986038135</v>
      </c>
      <c r="J7" s="144">
        <v>-374662.88629253145</v>
      </c>
      <c r="K7" s="49">
        <f t="shared" si="0"/>
        <v>7.0917933000066657E-2</v>
      </c>
      <c r="L7" s="1"/>
      <c r="M7" s="150">
        <f t="shared" si="1"/>
        <v>-104202.0986038135</v>
      </c>
      <c r="N7" s="144">
        <f t="shared" si="1"/>
        <v>-129922.88629253145</v>
      </c>
    </row>
    <row r="8" spans="1:14" s="4" customFormat="1" x14ac:dyDescent="0.25">
      <c r="B8" s="124" t="s">
        <v>10</v>
      </c>
      <c r="C8" s="67">
        <v>-154001</v>
      </c>
      <c r="D8" s="67">
        <v>-152748</v>
      </c>
      <c r="E8" s="67">
        <v>-159468</v>
      </c>
      <c r="F8" s="67">
        <v>-79437</v>
      </c>
      <c r="G8" s="67">
        <v>-75358</v>
      </c>
      <c r="H8" s="67">
        <v>-115432.9615953328</v>
      </c>
      <c r="I8" s="150">
        <v>-118909.1742417893</v>
      </c>
      <c r="J8" s="144">
        <v>-114751.67075482252</v>
      </c>
      <c r="K8" s="49">
        <f t="shared" si="0"/>
        <v>-3.4963689837025802E-2</v>
      </c>
      <c r="L8" s="1"/>
      <c r="M8" s="150">
        <f t="shared" si="1"/>
        <v>-39472.174241789297</v>
      </c>
      <c r="N8" s="144">
        <f t="shared" si="1"/>
        <v>-39393.670754822524</v>
      </c>
    </row>
    <row r="9" spans="1:14" s="4" customFormat="1" ht="15.75" thickBot="1" x14ac:dyDescent="0.3">
      <c r="B9" s="124" t="s">
        <v>11</v>
      </c>
      <c r="C9" s="67">
        <v>27179</v>
      </c>
      <c r="D9" s="67">
        <v>30638</v>
      </c>
      <c r="E9" s="67">
        <v>18726</v>
      </c>
      <c r="F9" s="67">
        <v>9281</v>
      </c>
      <c r="G9" s="67">
        <v>9882</v>
      </c>
      <c r="H9" s="67">
        <v>23881.10989</v>
      </c>
      <c r="I9" s="150">
        <v>14965.983510000002</v>
      </c>
      <c r="J9" s="144">
        <v>15696.075209999997</v>
      </c>
      <c r="K9" s="49">
        <f t="shared" si="0"/>
        <v>4.8783409357103791E-2</v>
      </c>
      <c r="L9" s="1"/>
      <c r="M9" s="150">
        <f t="shared" si="1"/>
        <v>5684.9835100000018</v>
      </c>
      <c r="N9" s="144">
        <f t="shared" si="1"/>
        <v>5814.0752099999972</v>
      </c>
    </row>
    <row r="10" spans="1:14" s="4" customFormat="1" ht="15.75" thickBot="1" x14ac:dyDescent="0.3">
      <c r="B10" s="132" t="s">
        <v>0</v>
      </c>
      <c r="C10" s="145">
        <f>SUM(C6:C9)</f>
        <v>114974</v>
      </c>
      <c r="D10" s="145">
        <f>SUM(D6:D9)</f>
        <v>106532.99999999994</v>
      </c>
      <c r="E10" s="145">
        <f t="shared" ref="E10:J10" si="2">SUM(E6:E9)</f>
        <v>146481</v>
      </c>
      <c r="F10" s="145">
        <f t="shared" si="2"/>
        <v>58349</v>
      </c>
      <c r="G10" s="145">
        <f t="shared" si="2"/>
        <v>60590</v>
      </c>
      <c r="H10" s="145">
        <f t="shared" si="2"/>
        <v>77269.079859267804</v>
      </c>
      <c r="I10" s="151">
        <f t="shared" si="2"/>
        <v>108794.48834439726</v>
      </c>
      <c r="J10" s="146">
        <f t="shared" si="2"/>
        <v>85631.862512646403</v>
      </c>
      <c r="K10" s="54">
        <f t="shared" si="0"/>
        <v>-0.21290256688765152</v>
      </c>
      <c r="L10" s="1"/>
      <c r="M10" s="151">
        <f t="shared" ref="M10:N10" si="3">SUM(M6:M9)</f>
        <v>50445.488344397265</v>
      </c>
      <c r="N10" s="146">
        <f t="shared" si="3"/>
        <v>25041.862512646403</v>
      </c>
    </row>
    <row r="11" spans="1:14" s="4" customFormat="1" ht="9" customHeight="1" x14ac:dyDescent="0.25">
      <c r="B11" s="47"/>
      <c r="C11" s="67"/>
      <c r="D11" s="67"/>
      <c r="E11" s="67"/>
      <c r="F11" s="67"/>
      <c r="G11" s="67"/>
      <c r="H11" s="67"/>
      <c r="I11" s="67"/>
      <c r="J11" s="67"/>
      <c r="K11" s="68"/>
      <c r="L11" s="1"/>
    </row>
    <row r="12" spans="1:14" s="4" customFormat="1" x14ac:dyDescent="0.25">
      <c r="B12" s="122"/>
      <c r="C12" s="69"/>
      <c r="D12" s="69"/>
      <c r="E12" s="69"/>
      <c r="F12" s="126"/>
      <c r="G12" s="126"/>
      <c r="H12" s="126"/>
      <c r="I12" s="126"/>
      <c r="J12" s="126"/>
      <c r="K12" s="44" t="s">
        <v>97</v>
      </c>
      <c r="L12" s="1"/>
      <c r="N12" s="44" t="s">
        <v>97</v>
      </c>
    </row>
    <row r="13" spans="1:14" s="4" customFormat="1" x14ac:dyDescent="0.25">
      <c r="B13" s="122"/>
      <c r="C13" s="69"/>
      <c r="D13" s="69"/>
      <c r="E13" s="69"/>
      <c r="F13" s="126"/>
      <c r="G13" s="126"/>
      <c r="H13" s="126"/>
      <c r="I13" s="126"/>
      <c r="J13" s="126"/>
      <c r="K13" s="69"/>
      <c r="L13" s="1"/>
    </row>
    <row r="14" spans="1:14" s="4" customFormat="1" x14ac:dyDescent="0.25">
      <c r="B14" s="47"/>
      <c r="C14" s="67"/>
      <c r="D14" s="67"/>
      <c r="E14" s="67"/>
      <c r="F14" s="67"/>
      <c r="G14" s="67"/>
      <c r="H14" s="67"/>
      <c r="I14" s="67"/>
      <c r="J14" s="67"/>
      <c r="K14" s="68"/>
      <c r="L14" s="1"/>
    </row>
    <row r="15" spans="1:14" s="4" customFormat="1" ht="15.75" thickBot="1" x14ac:dyDescent="0.3">
      <c r="B15" s="131"/>
      <c r="C15" s="64" t="s">
        <v>45</v>
      </c>
      <c r="D15" s="64" t="s">
        <v>17</v>
      </c>
      <c r="E15" s="64" t="s">
        <v>18</v>
      </c>
      <c r="F15" s="64" t="s">
        <v>120</v>
      </c>
      <c r="G15" s="64" t="s">
        <v>119</v>
      </c>
      <c r="H15" s="64" t="s">
        <v>121</v>
      </c>
      <c r="I15" s="65" t="s">
        <v>118</v>
      </c>
      <c r="J15" s="66" t="s">
        <v>117</v>
      </c>
      <c r="K15" s="53" t="s">
        <v>12</v>
      </c>
      <c r="L15" s="1"/>
      <c r="M15" s="65" t="s">
        <v>123</v>
      </c>
      <c r="N15" s="66" t="s">
        <v>124</v>
      </c>
    </row>
    <row r="16" spans="1:14" s="4" customFormat="1" x14ac:dyDescent="0.25">
      <c r="B16" s="124" t="s">
        <v>13</v>
      </c>
      <c r="C16" s="68">
        <f>-C7/C6</f>
        <v>0.66348095601937873</v>
      </c>
      <c r="D16" s="68">
        <f>-D7/D6</f>
        <v>0.69445376174815487</v>
      </c>
      <c r="E16" s="68">
        <f t="shared" ref="E16:J16" si="4">-E7/E6</f>
        <v>0.61836155752353494</v>
      </c>
      <c r="F16" s="68">
        <f t="shared" si="4"/>
        <v>0.65654608384225788</v>
      </c>
      <c r="G16" s="68">
        <f t="shared" si="4"/>
        <v>0.66002168249704696</v>
      </c>
      <c r="H16" s="68">
        <f t="shared" si="4"/>
        <v>0.69758762509696937</v>
      </c>
      <c r="I16" s="70">
        <f t="shared" si="4"/>
        <v>0.62186003458244254</v>
      </c>
      <c r="J16" s="71">
        <f t="shared" si="4"/>
        <v>0.66981792373420779</v>
      </c>
      <c r="K16" s="50">
        <f>(J16-I16)*100</f>
        <v>4.7957889151765247</v>
      </c>
      <c r="L16" s="1"/>
      <c r="M16" s="70">
        <f t="shared" ref="M16:N16" si="5">-M7/M6</f>
        <v>0.55298761665306551</v>
      </c>
      <c r="N16" s="71">
        <f t="shared" si="5"/>
        <v>0.68908397512763253</v>
      </c>
    </row>
    <row r="17" spans="2:14" s="4" customFormat="1" ht="15.75" thickBot="1" x14ac:dyDescent="0.3">
      <c r="B17" s="124" t="s">
        <v>14</v>
      </c>
      <c r="C17" s="68">
        <f>-(C8+C9)/C6</f>
        <v>0.17650423578434032</v>
      </c>
      <c r="D17" s="68">
        <f>-(D8+D9)/D6</f>
        <v>0.16318125266434053</v>
      </c>
      <c r="E17" s="68">
        <f t="shared" ref="E17:J17" si="6">-(E8+E9)/E6</f>
        <v>0.18700646421429568</v>
      </c>
      <c r="F17" s="68">
        <f t="shared" si="6"/>
        <v>0.18750517833518193</v>
      </c>
      <c r="G17" s="68">
        <f t="shared" si="6"/>
        <v>0.17657750953328694</v>
      </c>
      <c r="H17" s="68">
        <f t="shared" si="6"/>
        <v>0.16399869758084679</v>
      </c>
      <c r="I17" s="70">
        <f t="shared" si="6"/>
        <v>0.18475840631237345</v>
      </c>
      <c r="J17" s="71">
        <f t="shared" si="6"/>
        <v>0.17709043454676199</v>
      </c>
      <c r="K17" s="50">
        <f t="shared" ref="K17:K18" si="7">(J17-I17)*100</f>
        <v>-0.76679717656114588</v>
      </c>
      <c r="L17" s="1"/>
      <c r="M17" s="70">
        <f t="shared" ref="M17:N17" si="8">-(M8+M9)/M6</f>
        <v>0.1793044317390641</v>
      </c>
      <c r="N17" s="71">
        <f t="shared" si="8"/>
        <v>0.17809919284817022</v>
      </c>
    </row>
    <row r="18" spans="2:14" s="4" customFormat="1" ht="15.75" thickBot="1" x14ac:dyDescent="0.3">
      <c r="B18" s="132" t="s">
        <v>1</v>
      </c>
      <c r="C18" s="72">
        <f>-(C7+C8+C9)/C6</f>
        <v>0.839985191803719</v>
      </c>
      <c r="D18" s="72">
        <f>-(D7+D8+D9)/D6</f>
        <v>0.85763501441249534</v>
      </c>
      <c r="E18" s="72">
        <f t="shared" ref="E18:J18" si="9">-(E7+E8+E9)/E6</f>
        <v>0.80536802173783062</v>
      </c>
      <c r="F18" s="72">
        <f t="shared" si="9"/>
        <v>0.84405126217743986</v>
      </c>
      <c r="G18" s="72">
        <f t="shared" si="9"/>
        <v>0.83659919203033395</v>
      </c>
      <c r="H18" s="72">
        <f t="shared" si="9"/>
        <v>0.8615863226778161</v>
      </c>
      <c r="I18" s="73">
        <f t="shared" si="9"/>
        <v>0.80661844089481605</v>
      </c>
      <c r="J18" s="74">
        <f t="shared" si="9"/>
        <v>0.84690835828096978</v>
      </c>
      <c r="K18" s="55">
        <f t="shared" si="7"/>
        <v>4.0289917386153729</v>
      </c>
      <c r="L18" s="1"/>
      <c r="M18" s="73">
        <f t="shared" ref="M18:N18" si="10">-(M7+M8+M9)/M6</f>
        <v>0.73229204839212969</v>
      </c>
      <c r="N18" s="74">
        <f t="shared" si="10"/>
        <v>0.86718316797580264</v>
      </c>
    </row>
    <row r="19" spans="2:14" s="4" customFormat="1" x14ac:dyDescent="0.25">
      <c r="B19" s="47"/>
      <c r="C19" s="5"/>
      <c r="D19" s="5"/>
      <c r="E19" s="5"/>
      <c r="F19" s="5"/>
      <c r="G19" s="5"/>
      <c r="H19" s="5"/>
      <c r="I19" s="45"/>
      <c r="J19" s="45"/>
      <c r="K19" s="6"/>
      <c r="L19" s="67"/>
    </row>
    <row r="20" spans="2:14" s="4" customFormat="1" x14ac:dyDescent="0.25">
      <c r="K20" s="8"/>
      <c r="L20" s="126"/>
    </row>
  </sheetData>
  <hyperlinks>
    <hyperlink ref="A2" location="'Financial supplement&gt;&gt;&gt;'!A1" display="INDEX" xr:uid="{022DCA21-40F8-4DF9-98EF-2258B1411295}"/>
  </hyperlinks>
  <pageMargins left="0.7" right="0.7" top="0.75" bottom="0.75" header="0.3" footer="0.3"/>
  <pageSetup paperSize="9" orientation="portrait" r:id="rId1"/>
  <ignoredErrors>
    <ignoredError sqref="C10:J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D9583-BE61-4601-BB05-21DCEC7FD5DC}">
  <dimension ref="A1:N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7" customWidth="1"/>
    <col min="2" max="2" width="49.85546875" style="7" bestFit="1" customWidth="1"/>
    <col min="3" max="5" width="11" style="7" customWidth="1"/>
    <col min="6" max="7" width="11" style="7" hidden="1" customWidth="1" outlineLevel="1"/>
    <col min="8" max="8" width="11" style="7" customWidth="1" collapsed="1"/>
    <col min="9" max="11" width="11" style="7" customWidth="1"/>
    <col min="12" max="12" width="3" style="1" customWidth="1"/>
    <col min="13" max="16384" width="10.85546875" style="7"/>
  </cols>
  <sheetData>
    <row r="1" spans="1:14" ht="16.5" customHeight="1" x14ac:dyDescent="0.2"/>
    <row r="2" spans="1:14" ht="18.75" customHeight="1" thickBot="1" x14ac:dyDescent="0.25">
      <c r="A2" s="105" t="s">
        <v>109</v>
      </c>
      <c r="B2" s="118" t="s">
        <v>15</v>
      </c>
      <c r="C2" s="23"/>
      <c r="D2" s="23"/>
      <c r="E2" s="23"/>
      <c r="F2" s="23"/>
      <c r="G2" s="23"/>
      <c r="H2" s="23"/>
      <c r="I2" s="23"/>
      <c r="J2" s="23"/>
      <c r="K2" s="23"/>
      <c r="M2" s="118" t="s">
        <v>122</v>
      </c>
      <c r="N2" s="118"/>
    </row>
    <row r="4" spans="1:14" s="4" customFormat="1" ht="15.75" thickBot="1" x14ac:dyDescent="0.3">
      <c r="B4" s="131"/>
      <c r="C4" s="64" t="s">
        <v>45</v>
      </c>
      <c r="D4" s="64" t="s">
        <v>17</v>
      </c>
      <c r="E4" s="64" t="s">
        <v>18</v>
      </c>
      <c r="F4" s="64" t="s">
        <v>120</v>
      </c>
      <c r="G4" s="64" t="s">
        <v>119</v>
      </c>
      <c r="H4" s="64" t="s">
        <v>121</v>
      </c>
      <c r="I4" s="65" t="s">
        <v>118</v>
      </c>
      <c r="J4" s="66" t="s">
        <v>117</v>
      </c>
      <c r="K4" s="52" t="s">
        <v>2</v>
      </c>
      <c r="L4" s="1"/>
      <c r="M4" s="65" t="s">
        <v>123</v>
      </c>
      <c r="N4" s="66" t="s">
        <v>124</v>
      </c>
    </row>
    <row r="5" spans="1:14" s="4" customFormat="1" x14ac:dyDescent="0.25">
      <c r="B5" s="47" t="s">
        <v>65</v>
      </c>
      <c r="C5" s="147">
        <v>100691.076</v>
      </c>
      <c r="D5" s="147">
        <v>111356.549</v>
      </c>
      <c r="E5" s="147">
        <v>120653.628</v>
      </c>
      <c r="F5" s="147">
        <v>59705.956969999999</v>
      </c>
      <c r="G5" s="147">
        <v>64779.205790000007</v>
      </c>
      <c r="H5" s="147">
        <v>82446.400180000026</v>
      </c>
      <c r="I5" s="148">
        <v>89543.79578</v>
      </c>
      <c r="J5" s="149">
        <v>97044.810309999986</v>
      </c>
      <c r="K5" s="48">
        <f>+J5/I5-1</f>
        <v>8.3769226719282885E-2</v>
      </c>
      <c r="L5" s="1"/>
      <c r="M5" s="148">
        <f>I5-F5</f>
        <v>29837.838810000001</v>
      </c>
      <c r="N5" s="149">
        <f>J5-G5</f>
        <v>32265.604519999979</v>
      </c>
    </row>
    <row r="6" spans="1:14" s="4" customFormat="1" x14ac:dyDescent="0.25">
      <c r="B6" s="47" t="s">
        <v>66</v>
      </c>
      <c r="C6" s="147">
        <v>92406</v>
      </c>
      <c r="D6" s="147">
        <v>102660</v>
      </c>
      <c r="E6" s="147">
        <v>111546</v>
      </c>
      <c r="F6" s="147">
        <v>54284</v>
      </c>
      <c r="G6" s="147">
        <v>58166</v>
      </c>
      <c r="H6" s="147">
        <v>76020.518519999998</v>
      </c>
      <c r="I6" s="148">
        <v>82565.065399999949</v>
      </c>
      <c r="J6" s="149">
        <v>88288.386050000001</v>
      </c>
      <c r="K6" s="48">
        <f t="shared" ref="K6:K10" si="0">+J6/I6-1</f>
        <v>6.9318913783601888E-2</v>
      </c>
      <c r="L6" s="1"/>
      <c r="M6" s="148">
        <f t="shared" ref="M6:N9" si="1">I6-F6</f>
        <v>28281.065399999949</v>
      </c>
      <c r="N6" s="149">
        <f t="shared" si="1"/>
        <v>30122.386050000001</v>
      </c>
    </row>
    <row r="7" spans="1:14" s="4" customFormat="1" x14ac:dyDescent="0.25">
      <c r="B7" s="124" t="s">
        <v>9</v>
      </c>
      <c r="C7" s="67">
        <v>-48215</v>
      </c>
      <c r="D7" s="67">
        <v>-53137</v>
      </c>
      <c r="E7" s="67">
        <v>-63678</v>
      </c>
      <c r="F7" s="67">
        <v>-28390</v>
      </c>
      <c r="G7" s="67">
        <v>-33435</v>
      </c>
      <c r="H7" s="67">
        <v>-39724.096594049995</v>
      </c>
      <c r="I7" s="150">
        <v>-45994.703035557985</v>
      </c>
      <c r="J7" s="144">
        <v>-49774.005104250042</v>
      </c>
      <c r="K7" s="49">
        <f t="shared" si="0"/>
        <v>8.2168202407358226E-2</v>
      </c>
      <c r="L7" s="1"/>
      <c r="M7" s="150">
        <f t="shared" si="1"/>
        <v>-17604.703035557985</v>
      </c>
      <c r="N7" s="144">
        <f t="shared" si="1"/>
        <v>-16339.005104250042</v>
      </c>
    </row>
    <row r="8" spans="1:14" s="4" customFormat="1" x14ac:dyDescent="0.25">
      <c r="B8" s="124" t="s">
        <v>10</v>
      </c>
      <c r="C8" s="67">
        <v>-35037</v>
      </c>
      <c r="D8" s="67">
        <v>-37209</v>
      </c>
      <c r="E8" s="67">
        <v>-40873</v>
      </c>
      <c r="F8" s="67">
        <v>-19678</v>
      </c>
      <c r="G8" s="67">
        <v>-19550</v>
      </c>
      <c r="H8" s="67">
        <v>-27774.558025313498</v>
      </c>
      <c r="I8" s="150">
        <v>-30927.286957193995</v>
      </c>
      <c r="J8" s="144">
        <v>-29832.20227503881</v>
      </c>
      <c r="K8" s="49">
        <f t="shared" si="0"/>
        <v>-3.5408365553398768E-2</v>
      </c>
      <c r="L8" s="1"/>
      <c r="M8" s="150">
        <f t="shared" si="1"/>
        <v>-11249.286957193995</v>
      </c>
      <c r="N8" s="144">
        <f t="shared" si="1"/>
        <v>-10282.20227503881</v>
      </c>
    </row>
    <row r="9" spans="1:14" s="4" customFormat="1" ht="15.75" thickBot="1" x14ac:dyDescent="0.3">
      <c r="B9" s="124" t="s">
        <v>11</v>
      </c>
      <c r="C9" s="67">
        <v>-460</v>
      </c>
      <c r="D9" s="67">
        <v>33</v>
      </c>
      <c r="E9" s="67">
        <v>-311</v>
      </c>
      <c r="F9" s="67">
        <v>-120</v>
      </c>
      <c r="G9" s="67">
        <v>-91</v>
      </c>
      <c r="H9" s="67">
        <v>102.78219999999999</v>
      </c>
      <c r="I9" s="150">
        <v>-215.857</v>
      </c>
      <c r="J9" s="144">
        <v>-91.850300000000004</v>
      </c>
      <c r="K9" s="49">
        <f t="shared" si="0"/>
        <v>-0.57448542322000207</v>
      </c>
      <c r="L9" s="1"/>
      <c r="M9" s="150">
        <f t="shared" si="1"/>
        <v>-95.856999999999999</v>
      </c>
      <c r="N9" s="144">
        <f t="shared" si="1"/>
        <v>-0.85030000000000427</v>
      </c>
    </row>
    <row r="10" spans="1:14" s="4" customFormat="1" ht="15.75" thickBot="1" x14ac:dyDescent="0.3">
      <c r="B10" s="132" t="s">
        <v>0</v>
      </c>
      <c r="C10" s="145">
        <f>SUM(C6:C9)</f>
        <v>8694</v>
      </c>
      <c r="D10" s="145">
        <f>SUM(D6:D9)</f>
        <v>12347</v>
      </c>
      <c r="E10" s="145">
        <f t="shared" ref="E10:J10" si="2">SUM(E6:E9)</f>
        <v>6684</v>
      </c>
      <c r="F10" s="145">
        <f t="shared" si="2"/>
        <v>6096</v>
      </c>
      <c r="G10" s="145">
        <f t="shared" si="2"/>
        <v>5090</v>
      </c>
      <c r="H10" s="145">
        <f t="shared" si="2"/>
        <v>8624.6461006365043</v>
      </c>
      <c r="I10" s="151">
        <f t="shared" si="2"/>
        <v>5427.2184072479686</v>
      </c>
      <c r="J10" s="146">
        <f t="shared" si="2"/>
        <v>8590.3283707111495</v>
      </c>
      <c r="K10" s="54">
        <f t="shared" si="0"/>
        <v>0.58282341452094411</v>
      </c>
      <c r="L10" s="1"/>
      <c r="M10" s="151">
        <f t="shared" ref="M10:N10" si="3">SUM(M6:M9)</f>
        <v>-668.78159275203143</v>
      </c>
      <c r="N10" s="146">
        <f t="shared" si="3"/>
        <v>3500.3283707111495</v>
      </c>
    </row>
    <row r="11" spans="1:14" s="4" customFormat="1" ht="9" customHeight="1" x14ac:dyDescent="0.25">
      <c r="B11" s="47"/>
      <c r="C11" s="67"/>
      <c r="D11" s="67"/>
      <c r="E11" s="67"/>
      <c r="F11" s="67"/>
      <c r="G11" s="67"/>
      <c r="H11" s="67"/>
      <c r="I11" s="67"/>
      <c r="J11" s="67"/>
      <c r="K11" s="68"/>
      <c r="L11" s="1"/>
    </row>
    <row r="12" spans="1:14" s="4" customFormat="1" x14ac:dyDescent="0.25">
      <c r="B12" s="122"/>
      <c r="C12" s="69"/>
      <c r="D12" s="69"/>
      <c r="E12" s="69"/>
      <c r="F12" s="126"/>
      <c r="G12" s="126"/>
      <c r="H12" s="126"/>
      <c r="I12" s="126"/>
      <c r="J12" s="126"/>
      <c r="K12" s="44" t="s">
        <v>97</v>
      </c>
      <c r="L12" s="1"/>
      <c r="N12" s="44" t="s">
        <v>97</v>
      </c>
    </row>
    <row r="13" spans="1:14" s="4" customFormat="1" x14ac:dyDescent="0.25">
      <c r="B13" s="122"/>
      <c r="C13" s="69"/>
      <c r="D13" s="69"/>
      <c r="E13" s="69"/>
      <c r="F13" s="126"/>
      <c r="G13" s="126"/>
      <c r="H13" s="126"/>
      <c r="I13" s="126"/>
      <c r="J13" s="126"/>
      <c r="K13" s="69"/>
      <c r="L13" s="1"/>
    </row>
    <row r="14" spans="1:14" s="4" customFormat="1" x14ac:dyDescent="0.25">
      <c r="B14" s="47"/>
      <c r="C14" s="67"/>
      <c r="D14" s="67"/>
      <c r="E14" s="67"/>
      <c r="F14" s="67"/>
      <c r="G14" s="67"/>
      <c r="H14" s="67"/>
      <c r="I14" s="67"/>
      <c r="J14" s="67"/>
      <c r="K14" s="68"/>
      <c r="L14" s="1"/>
    </row>
    <row r="15" spans="1:14" s="4" customFormat="1" ht="15.75" thickBot="1" x14ac:dyDescent="0.3">
      <c r="B15" s="131"/>
      <c r="C15" s="64" t="s">
        <v>45</v>
      </c>
      <c r="D15" s="64" t="s">
        <v>17</v>
      </c>
      <c r="E15" s="64" t="s">
        <v>18</v>
      </c>
      <c r="F15" s="64" t="s">
        <v>120</v>
      </c>
      <c r="G15" s="64" t="s">
        <v>119</v>
      </c>
      <c r="H15" s="64" t="s">
        <v>121</v>
      </c>
      <c r="I15" s="65" t="s">
        <v>118</v>
      </c>
      <c r="J15" s="66" t="s">
        <v>117</v>
      </c>
      <c r="K15" s="53" t="s">
        <v>12</v>
      </c>
      <c r="L15" s="1"/>
      <c r="M15" s="65" t="s">
        <v>123</v>
      </c>
      <c r="N15" s="66" t="s">
        <v>124</v>
      </c>
    </row>
    <row r="16" spans="1:14" s="4" customFormat="1" x14ac:dyDescent="0.25">
      <c r="B16" s="124" t="s">
        <v>13</v>
      </c>
      <c r="C16" s="68">
        <f>-C7/C6</f>
        <v>0.52177347791268969</v>
      </c>
      <c r="D16" s="68">
        <f>-D7/D6</f>
        <v>0.51760179232417691</v>
      </c>
      <c r="E16" s="68">
        <f t="shared" ref="E16:J16" si="4">-E7/E6</f>
        <v>0.57086762411919745</v>
      </c>
      <c r="F16" s="68">
        <f t="shared" si="4"/>
        <v>0.52299019969051652</v>
      </c>
      <c r="G16" s="68">
        <f t="shared" si="4"/>
        <v>0.57482034178042152</v>
      </c>
      <c r="H16" s="68">
        <f t="shared" si="4"/>
        <v>0.52254440468725705</v>
      </c>
      <c r="I16" s="70">
        <f t="shared" si="4"/>
        <v>0.55707220496621823</v>
      </c>
      <c r="J16" s="71">
        <f t="shared" si="4"/>
        <v>0.56376616824846848</v>
      </c>
      <c r="K16" s="50">
        <f>(J16-I16)*100</f>
        <v>0.66939632822502482</v>
      </c>
      <c r="L16" s="1"/>
      <c r="M16" s="70">
        <f t="shared" ref="M16:N16" si="5">-M7/M6</f>
        <v>0.62249080034863247</v>
      </c>
      <c r="N16" s="71">
        <f t="shared" si="5"/>
        <v>0.5424206793289551</v>
      </c>
    </row>
    <row r="17" spans="2:14" s="4" customFormat="1" ht="15.75" thickBot="1" x14ac:dyDescent="0.3">
      <c r="B17" s="124" t="s">
        <v>14</v>
      </c>
      <c r="C17" s="68">
        <f>-(C8+C9)/C6</f>
        <v>0.38414172239897842</v>
      </c>
      <c r="D17" s="68">
        <f>-(D8+D9)/D6</f>
        <v>0.36212741087083578</v>
      </c>
      <c r="E17" s="68">
        <f t="shared" ref="E17:J17" si="6">-(E8+E9)/E6</f>
        <v>0.36921090850411492</v>
      </c>
      <c r="F17" s="68">
        <f t="shared" si="6"/>
        <v>0.36471151720580652</v>
      </c>
      <c r="G17" s="68">
        <f t="shared" si="6"/>
        <v>0.33767149193687035</v>
      </c>
      <c r="H17" s="68">
        <f t="shared" si="6"/>
        <v>0.36400403948880483</v>
      </c>
      <c r="I17" s="70">
        <f t="shared" si="6"/>
        <v>0.37719517093962135</v>
      </c>
      <c r="J17" s="71">
        <f t="shared" si="6"/>
        <v>0.33893532223017464</v>
      </c>
      <c r="K17" s="50">
        <f t="shared" ref="K17:K18" si="7">(J17-I17)*100</f>
        <v>-3.8259848709446711</v>
      </c>
      <c r="L17" s="1"/>
      <c r="M17" s="70">
        <f t="shared" ref="M17:N17" si="8">-(M8+M9)/M6</f>
        <v>0.40115687993826482</v>
      </c>
      <c r="N17" s="71">
        <f t="shared" si="8"/>
        <v>0.34137576478735854</v>
      </c>
    </row>
    <row r="18" spans="2:14" s="4" customFormat="1" ht="15.75" thickBot="1" x14ac:dyDescent="0.3">
      <c r="B18" s="132" t="s">
        <v>1</v>
      </c>
      <c r="C18" s="72">
        <f>-(C7+C8+C9)/C6</f>
        <v>0.90591520031166806</v>
      </c>
      <c r="D18" s="72">
        <f>-(D7+D8+D9)/D6</f>
        <v>0.87972920319501269</v>
      </c>
      <c r="E18" s="72">
        <f t="shared" ref="E18:J18" si="9">-(E7+E8+E9)/E6</f>
        <v>0.94007853262331231</v>
      </c>
      <c r="F18" s="72">
        <f t="shared" si="9"/>
        <v>0.88770171689632305</v>
      </c>
      <c r="G18" s="72">
        <f t="shared" si="9"/>
        <v>0.91249183371729192</v>
      </c>
      <c r="H18" s="72">
        <f t="shared" si="9"/>
        <v>0.88654844417606171</v>
      </c>
      <c r="I18" s="73">
        <f t="shared" si="9"/>
        <v>0.93426737590583953</v>
      </c>
      <c r="J18" s="74">
        <f t="shared" si="9"/>
        <v>0.90270149047864334</v>
      </c>
      <c r="K18" s="55">
        <f t="shared" si="7"/>
        <v>-3.1565885427196183</v>
      </c>
      <c r="L18" s="1"/>
      <c r="M18" s="73">
        <f t="shared" ref="M18:N18" si="10">-(M7+M8+M9)/M6</f>
        <v>1.0236476802868972</v>
      </c>
      <c r="N18" s="74">
        <f t="shared" si="10"/>
        <v>0.88379644411631353</v>
      </c>
    </row>
    <row r="19" spans="2:14" s="4" customFormat="1" x14ac:dyDescent="0.25">
      <c r="B19" s="47"/>
      <c r="C19" s="5"/>
      <c r="D19" s="5"/>
      <c r="E19" s="5"/>
      <c r="F19" s="5"/>
      <c r="G19" s="5"/>
      <c r="H19" s="5"/>
      <c r="I19" s="45"/>
      <c r="J19" s="45"/>
      <c r="K19" s="6"/>
      <c r="L19" s="67"/>
    </row>
    <row r="20" spans="2:14" s="4" customFormat="1" x14ac:dyDescent="0.25">
      <c r="K20" s="8"/>
      <c r="L20" s="126"/>
    </row>
  </sheetData>
  <hyperlinks>
    <hyperlink ref="A2" location="'Financial supplement&gt;&gt;&gt;'!A1" display="INDEX" xr:uid="{3DA4A87D-D681-4921-80EF-023ADE68FDD3}"/>
  </hyperlinks>
  <pageMargins left="0.7" right="0.7" top="0.75" bottom="0.75" header="0.3" footer="0.3"/>
  <pageSetup paperSize="9" orientation="portrait" r:id="rId1"/>
  <ignoredErrors>
    <ignoredError sqref="C10:E10 F10:J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63F1-F0A7-4FEE-AF73-6646F92F86E8}">
  <dimension ref="A1:N20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7" customWidth="1"/>
    <col min="2" max="2" width="49.85546875" style="7" bestFit="1" customWidth="1"/>
    <col min="3" max="5" width="11" style="7" customWidth="1"/>
    <col min="6" max="7" width="11" style="7" hidden="1" customWidth="1" outlineLevel="1"/>
    <col min="8" max="8" width="11" style="7" customWidth="1" collapsed="1"/>
    <col min="9" max="11" width="11" style="7" customWidth="1"/>
    <col min="12" max="12" width="3" style="1" customWidth="1"/>
    <col min="13" max="16384" width="10.85546875" style="7"/>
  </cols>
  <sheetData>
    <row r="1" spans="1:14" ht="16.5" customHeight="1" x14ac:dyDescent="0.2"/>
    <row r="2" spans="1:14" ht="18.75" customHeight="1" thickBot="1" x14ac:dyDescent="0.25">
      <c r="A2" s="105" t="s">
        <v>109</v>
      </c>
      <c r="B2" s="118" t="s">
        <v>16</v>
      </c>
      <c r="C2" s="23"/>
      <c r="D2" s="23"/>
      <c r="E2" s="23"/>
      <c r="F2" s="23"/>
      <c r="G2" s="23"/>
      <c r="H2" s="23"/>
      <c r="I2" s="23"/>
      <c r="J2" s="23"/>
      <c r="K2" s="23"/>
      <c r="M2" s="118" t="s">
        <v>122</v>
      </c>
      <c r="N2" s="118"/>
    </row>
    <row r="4" spans="1:14" s="4" customFormat="1" ht="15.75" thickBot="1" x14ac:dyDescent="0.3">
      <c r="B4" s="131"/>
      <c r="C4" s="64" t="s">
        <v>45</v>
      </c>
      <c r="D4" s="64" t="s">
        <v>17</v>
      </c>
      <c r="E4" s="64" t="s">
        <v>18</v>
      </c>
      <c r="F4" s="64" t="s">
        <v>120</v>
      </c>
      <c r="G4" s="64" t="s">
        <v>119</v>
      </c>
      <c r="H4" s="64" t="s">
        <v>121</v>
      </c>
      <c r="I4" s="65" t="s">
        <v>118</v>
      </c>
      <c r="J4" s="66" t="s">
        <v>117</v>
      </c>
      <c r="K4" s="52" t="s">
        <v>2</v>
      </c>
      <c r="L4" s="1"/>
      <c r="M4" s="65" t="s">
        <v>123</v>
      </c>
      <c r="N4" s="66" t="s">
        <v>124</v>
      </c>
    </row>
    <row r="5" spans="1:14" s="4" customFormat="1" x14ac:dyDescent="0.25">
      <c r="B5" s="47" t="s">
        <v>65</v>
      </c>
      <c r="C5" s="147">
        <v>7518</v>
      </c>
      <c r="D5" s="147">
        <v>15744</v>
      </c>
      <c r="E5" s="147">
        <v>21826</v>
      </c>
      <c r="F5" s="147">
        <v>13257.647209999999</v>
      </c>
      <c r="G5" s="147">
        <v>16622.485779999999</v>
      </c>
      <c r="H5" s="147">
        <v>12243.391560000002</v>
      </c>
      <c r="I5" s="148">
        <v>16876.646899999996</v>
      </c>
      <c r="J5" s="149">
        <v>20912.694649999998</v>
      </c>
      <c r="K5" s="48">
        <f>+J5/I5-1</f>
        <v>0.23914986039081043</v>
      </c>
      <c r="L5" s="1"/>
      <c r="M5" s="148">
        <f>I5-F5</f>
        <v>3618.9996899999969</v>
      </c>
      <c r="N5" s="149">
        <f>J5-G5</f>
        <v>4290.2088699999986</v>
      </c>
    </row>
    <row r="6" spans="1:14" s="4" customFormat="1" x14ac:dyDescent="0.25">
      <c r="B6" s="47" t="s">
        <v>66</v>
      </c>
      <c r="C6" s="147">
        <v>2147</v>
      </c>
      <c r="D6" s="147">
        <v>748</v>
      </c>
      <c r="E6" s="147">
        <v>12020</v>
      </c>
      <c r="F6" s="147">
        <v>4885</v>
      </c>
      <c r="G6" s="147">
        <v>6342</v>
      </c>
      <c r="H6" s="147">
        <v>4759.8379600000044</v>
      </c>
      <c r="I6" s="148">
        <v>7577.615569999989</v>
      </c>
      <c r="J6" s="149">
        <v>9860.6312800000014</v>
      </c>
      <c r="K6" s="48">
        <f t="shared" ref="K6:K10" si="0">+J6/I6-1</f>
        <v>0.30128418219558939</v>
      </c>
      <c r="L6" s="1"/>
      <c r="M6" s="148">
        <f t="shared" ref="M6:N9" si="1">I6-F6</f>
        <v>2692.615569999989</v>
      </c>
      <c r="N6" s="149">
        <f t="shared" si="1"/>
        <v>3518.6312800000014</v>
      </c>
    </row>
    <row r="7" spans="1:14" s="4" customFormat="1" x14ac:dyDescent="0.25">
      <c r="B7" s="124" t="s">
        <v>9</v>
      </c>
      <c r="C7" s="67">
        <v>-2866</v>
      </c>
      <c r="D7" s="67">
        <v>-7856</v>
      </c>
      <c r="E7" s="67">
        <v>-10712</v>
      </c>
      <c r="F7" s="67">
        <v>-5258</v>
      </c>
      <c r="G7" s="67">
        <v>-6678</v>
      </c>
      <c r="H7" s="67">
        <v>-5492.4931738313571</v>
      </c>
      <c r="I7" s="150">
        <v>-7858.8337416389977</v>
      </c>
      <c r="J7" s="144">
        <v>-9731.433319279995</v>
      </c>
      <c r="K7" s="49">
        <f t="shared" si="0"/>
        <v>0.23827957674168299</v>
      </c>
      <c r="L7" s="1"/>
      <c r="M7" s="150">
        <f t="shared" si="1"/>
        <v>-2600.8337416389977</v>
      </c>
      <c r="N7" s="144">
        <f t="shared" si="1"/>
        <v>-3053.433319279995</v>
      </c>
    </row>
    <row r="8" spans="1:14" s="4" customFormat="1" x14ac:dyDescent="0.25">
      <c r="B8" s="124" t="s">
        <v>10</v>
      </c>
      <c r="C8" s="67">
        <v>-6083</v>
      </c>
      <c r="D8" s="67">
        <v>-9085</v>
      </c>
      <c r="E8" s="67">
        <v>-8920</v>
      </c>
      <c r="F8" s="67">
        <v>-2166</v>
      </c>
      <c r="G8" s="67">
        <v>-2567</v>
      </c>
      <c r="H8" s="67">
        <v>-5317.2468838576415</v>
      </c>
      <c r="I8" s="150">
        <v>-4556.8115809177998</v>
      </c>
      <c r="J8" s="144">
        <v>-5210.2223628648017</v>
      </c>
      <c r="K8" s="49">
        <f t="shared" si="0"/>
        <v>0.14339210001204328</v>
      </c>
      <c r="L8" s="1"/>
      <c r="M8" s="150">
        <f t="shared" si="1"/>
        <v>-2390.8115809177998</v>
      </c>
      <c r="N8" s="144">
        <f t="shared" si="1"/>
        <v>-2643.2223628648017</v>
      </c>
    </row>
    <row r="9" spans="1:14" s="4" customFormat="1" ht="15.75" thickBot="1" x14ac:dyDescent="0.3">
      <c r="B9" s="124" t="s">
        <v>11</v>
      </c>
      <c r="C9" s="67">
        <v>-240</v>
      </c>
      <c r="D9" s="67">
        <v>-153</v>
      </c>
      <c r="E9" s="67">
        <v>-278</v>
      </c>
      <c r="F9" s="67">
        <v>-121</v>
      </c>
      <c r="G9" s="67">
        <v>-103</v>
      </c>
      <c r="H9" s="67">
        <v>-180</v>
      </c>
      <c r="I9" s="150">
        <v>-199.06700000000001</v>
      </c>
      <c r="J9" s="144">
        <v>-128.2534</v>
      </c>
      <c r="K9" s="49">
        <f t="shared" si="0"/>
        <v>-0.3557274686412113</v>
      </c>
      <c r="L9" s="1"/>
      <c r="M9" s="150">
        <f t="shared" si="1"/>
        <v>-78.067000000000007</v>
      </c>
      <c r="N9" s="144">
        <f t="shared" si="1"/>
        <v>-25.253399999999999</v>
      </c>
    </row>
    <row r="10" spans="1:14" s="4" customFormat="1" ht="15.75" thickBot="1" x14ac:dyDescent="0.3">
      <c r="B10" s="132" t="s">
        <v>0</v>
      </c>
      <c r="C10" s="145">
        <f>SUM(C6:C9)</f>
        <v>-7042</v>
      </c>
      <c r="D10" s="145">
        <f>SUM(D6:D9)</f>
        <v>-16346</v>
      </c>
      <c r="E10" s="145">
        <f t="shared" ref="E10:J10" si="2">SUM(E6:E9)</f>
        <v>-7890</v>
      </c>
      <c r="F10" s="145">
        <f t="shared" si="2"/>
        <v>-2660</v>
      </c>
      <c r="G10" s="145">
        <f t="shared" si="2"/>
        <v>-3006</v>
      </c>
      <c r="H10" s="151">
        <f t="shared" si="2"/>
        <v>-6229.9020976889942</v>
      </c>
      <c r="I10" s="151">
        <f t="shared" si="2"/>
        <v>-5037.0967525568085</v>
      </c>
      <c r="J10" s="146">
        <f t="shared" si="2"/>
        <v>-5209.2778021447948</v>
      </c>
      <c r="K10" s="54">
        <f t="shared" si="0"/>
        <v>3.4182597247231383E-2</v>
      </c>
      <c r="L10" s="1"/>
      <c r="M10" s="151">
        <f t="shared" ref="M10:N10" si="3">SUM(M6:M9)</f>
        <v>-2377.0967525568085</v>
      </c>
      <c r="N10" s="146">
        <f t="shared" si="3"/>
        <v>-2203.2778021447953</v>
      </c>
    </row>
    <row r="11" spans="1:14" s="4" customFormat="1" ht="9" customHeight="1" x14ac:dyDescent="0.25">
      <c r="B11" s="47"/>
      <c r="C11" s="45"/>
      <c r="D11" s="45"/>
      <c r="E11" s="45"/>
      <c r="F11" s="45"/>
      <c r="G11" s="45"/>
      <c r="H11" s="45"/>
      <c r="I11" s="45"/>
      <c r="J11" s="45"/>
      <c r="K11" s="46"/>
      <c r="L11" s="1"/>
    </row>
    <row r="12" spans="1:14" s="4" customFormat="1" x14ac:dyDescent="0.25">
      <c r="B12" s="122"/>
      <c r="C12" s="35"/>
      <c r="D12" s="35"/>
      <c r="E12" s="35"/>
      <c r="F12" s="122"/>
      <c r="G12" s="122"/>
      <c r="H12" s="122"/>
      <c r="I12" s="122"/>
      <c r="J12" s="122"/>
      <c r="K12" s="44" t="s">
        <v>97</v>
      </c>
      <c r="L12" s="1"/>
      <c r="N12" s="44" t="s">
        <v>97</v>
      </c>
    </row>
    <row r="13" spans="1:14" s="4" customFormat="1" x14ac:dyDescent="0.25">
      <c r="B13" s="122"/>
      <c r="C13" s="35"/>
      <c r="D13" s="35"/>
      <c r="E13" s="35"/>
      <c r="F13" s="122"/>
      <c r="G13" s="122"/>
      <c r="H13" s="122"/>
      <c r="I13" s="122"/>
      <c r="J13" s="122"/>
      <c r="K13" s="35"/>
      <c r="L13" s="1"/>
    </row>
    <row r="14" spans="1:14" s="4" customFormat="1" x14ac:dyDescent="0.25">
      <c r="B14" s="47"/>
      <c r="C14" s="45"/>
      <c r="D14" s="45"/>
      <c r="E14" s="45"/>
      <c r="F14" s="45"/>
      <c r="G14" s="45"/>
      <c r="H14" s="45"/>
      <c r="I14" s="45"/>
      <c r="J14" s="45"/>
      <c r="K14" s="46"/>
      <c r="L14" s="1"/>
    </row>
    <row r="15" spans="1:14" s="4" customFormat="1" ht="15.75" thickBot="1" x14ac:dyDescent="0.3">
      <c r="B15" s="131"/>
      <c r="C15" s="64" t="s">
        <v>45</v>
      </c>
      <c r="D15" s="64" t="s">
        <v>17</v>
      </c>
      <c r="E15" s="64" t="s">
        <v>18</v>
      </c>
      <c r="F15" s="64" t="s">
        <v>120</v>
      </c>
      <c r="G15" s="64" t="s">
        <v>119</v>
      </c>
      <c r="H15" s="64" t="s">
        <v>121</v>
      </c>
      <c r="I15" s="65" t="s">
        <v>118</v>
      </c>
      <c r="J15" s="66" t="s">
        <v>117</v>
      </c>
      <c r="K15" s="53" t="s">
        <v>12</v>
      </c>
      <c r="L15" s="1"/>
      <c r="M15" s="65" t="s">
        <v>123</v>
      </c>
      <c r="N15" s="66" t="s">
        <v>124</v>
      </c>
    </row>
    <row r="16" spans="1:14" s="4" customFormat="1" x14ac:dyDescent="0.25">
      <c r="B16" s="124" t="s">
        <v>13</v>
      </c>
      <c r="C16" s="68">
        <f>-C7/C6</f>
        <v>1.3348858872845832</v>
      </c>
      <c r="D16" s="68">
        <f>-D7/D6</f>
        <v>10.502673796791443</v>
      </c>
      <c r="E16" s="68">
        <f t="shared" ref="E16:J16" si="4">-E7/E6</f>
        <v>0.89118136439267892</v>
      </c>
      <c r="F16" s="68">
        <f t="shared" si="4"/>
        <v>1.0763561924257932</v>
      </c>
      <c r="G16" s="68">
        <f t="shared" si="4"/>
        <v>1.0529801324503312</v>
      </c>
      <c r="H16" s="68">
        <f t="shared" si="4"/>
        <v>1.1539244024667075</v>
      </c>
      <c r="I16" s="70">
        <f t="shared" si="4"/>
        <v>1.0371116968182392</v>
      </c>
      <c r="J16" s="71">
        <f t="shared" si="4"/>
        <v>0.98689759742035432</v>
      </c>
      <c r="K16" s="50">
        <f>(J16-I16)*100</f>
        <v>-5.0214099397884908</v>
      </c>
      <c r="L16" s="1"/>
      <c r="M16" s="70">
        <f t="shared" ref="M16:N16" si="5">-M7/M6</f>
        <v>0.96591350455535263</v>
      </c>
      <c r="N16" s="71">
        <f t="shared" si="5"/>
        <v>0.86779007980625744</v>
      </c>
    </row>
    <row r="17" spans="2:14" s="4" customFormat="1" ht="15.75" thickBot="1" x14ac:dyDescent="0.3">
      <c r="B17" s="124" t="s">
        <v>14</v>
      </c>
      <c r="C17" s="68">
        <f>-(C8+C9)/C6</f>
        <v>2.9450395901257567</v>
      </c>
      <c r="D17" s="68">
        <f>-(D8+D9)/D6</f>
        <v>12.350267379679144</v>
      </c>
      <c r="E17" s="68">
        <f t="shared" ref="E17:J17" si="6">-(E8+E9)/E6</f>
        <v>0.7652246256239601</v>
      </c>
      <c r="F17" s="68">
        <f t="shared" si="6"/>
        <v>0.46816786079836231</v>
      </c>
      <c r="G17" s="68">
        <f t="shared" si="6"/>
        <v>0.42100283822138129</v>
      </c>
      <c r="H17" s="68">
        <f t="shared" si="6"/>
        <v>1.1549231150418482</v>
      </c>
      <c r="I17" s="70">
        <f t="shared" si="6"/>
        <v>0.62762204508585362</v>
      </c>
      <c r="J17" s="71">
        <f t="shared" si="6"/>
        <v>0.54139289983316363</v>
      </c>
      <c r="K17" s="50">
        <f t="shared" ref="K17:K18" si="7">(J17-I17)*100</f>
        <v>-8.6229145252689996</v>
      </c>
      <c r="L17" s="1"/>
      <c r="M17" s="70">
        <f t="shared" ref="M17:N17" si="8">-(M8+M9)/M6</f>
        <v>0.91690719181194136</v>
      </c>
      <c r="N17" s="71">
        <f t="shared" si="8"/>
        <v>0.75838459631519006</v>
      </c>
    </row>
    <row r="18" spans="2:14" s="4" customFormat="1" ht="15.75" thickBot="1" x14ac:dyDescent="0.3">
      <c r="B18" s="132" t="s">
        <v>1</v>
      </c>
      <c r="C18" s="72">
        <f>-(C7+C8+C9)/C6</f>
        <v>4.2799254774103401</v>
      </c>
      <c r="D18" s="72">
        <f>-(D7+D8+D9)/D6</f>
        <v>22.852941176470587</v>
      </c>
      <c r="E18" s="72">
        <f t="shared" ref="E18:J18" si="9">-(E7+E8+E9)/E6</f>
        <v>1.656405990016639</v>
      </c>
      <c r="F18" s="72">
        <f t="shared" si="9"/>
        <v>1.5445240532241555</v>
      </c>
      <c r="G18" s="72">
        <f t="shared" si="9"/>
        <v>1.4739829706717125</v>
      </c>
      <c r="H18" s="72">
        <f t="shared" si="9"/>
        <v>2.3088475175085561</v>
      </c>
      <c r="I18" s="73">
        <f t="shared" si="9"/>
        <v>1.6647337419040926</v>
      </c>
      <c r="J18" s="74">
        <f t="shared" si="9"/>
        <v>1.5282904972535178</v>
      </c>
      <c r="K18" s="55">
        <f t="shared" si="7"/>
        <v>-13.644324465057478</v>
      </c>
      <c r="L18" s="1"/>
      <c r="M18" s="73">
        <f t="shared" ref="M18:N18" si="10">-(M7+M8+M9)/M6</f>
        <v>1.882820696367294</v>
      </c>
      <c r="N18" s="74">
        <f t="shared" si="10"/>
        <v>1.6261746761214475</v>
      </c>
    </row>
    <row r="19" spans="2:14" s="4" customFormat="1" x14ac:dyDescent="0.25">
      <c r="B19" s="47"/>
      <c r="C19" s="5"/>
      <c r="D19" s="5"/>
      <c r="E19" s="5"/>
      <c r="F19" s="5"/>
      <c r="G19" s="5"/>
      <c r="H19" s="5"/>
      <c r="I19" s="45"/>
      <c r="J19" s="45"/>
      <c r="K19" s="6"/>
      <c r="L19" s="67"/>
    </row>
    <row r="20" spans="2:14" s="4" customFormat="1" x14ac:dyDescent="0.25">
      <c r="K20" s="8"/>
      <c r="L20" s="126"/>
    </row>
  </sheetData>
  <hyperlinks>
    <hyperlink ref="A2" location="'Financial supplement&gt;&gt;&gt;'!A1" display="INDEX" xr:uid="{08D2BE40-5675-4719-B196-478C86AA56D1}"/>
  </hyperlinks>
  <pageMargins left="0.7" right="0.7" top="0.75" bottom="0.75" header="0.3" footer="0.3"/>
  <pageSetup paperSize="9" orientation="portrait" r:id="rId1"/>
  <ignoredErrors>
    <ignoredError sqref="C10:E10 F10:J1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C732-7491-4626-8159-AB756F517F87}">
  <dimension ref="A1:N22"/>
  <sheetViews>
    <sheetView showGridLines="0" zoomScaleNormal="100" workbookViewId="0"/>
  </sheetViews>
  <sheetFormatPr baseColWidth="10" defaultColWidth="10.85546875" defaultRowHeight="15" outlineLevelCol="1" x14ac:dyDescent="0.2"/>
  <cols>
    <col min="1" max="1" width="10.7109375" style="7" customWidth="1"/>
    <col min="2" max="2" width="49.85546875" style="7" bestFit="1" customWidth="1"/>
    <col min="3" max="5" width="11" style="7" customWidth="1"/>
    <col min="6" max="7" width="11" style="7" hidden="1" customWidth="1" outlineLevel="1"/>
    <col min="8" max="8" width="11" style="7" customWidth="1" collapsed="1"/>
    <col min="9" max="11" width="11" style="7" customWidth="1"/>
    <col min="12" max="12" width="3" style="1" customWidth="1"/>
    <col min="13" max="16384" width="10.85546875" style="7"/>
  </cols>
  <sheetData>
    <row r="1" spans="1:14" ht="16.5" customHeight="1" x14ac:dyDescent="0.2"/>
    <row r="2" spans="1:14" ht="18.75" customHeight="1" thickBot="1" x14ac:dyDescent="0.25">
      <c r="A2" s="105" t="s">
        <v>109</v>
      </c>
      <c r="B2" s="118" t="s">
        <v>107</v>
      </c>
      <c r="C2" s="23"/>
      <c r="D2" s="23"/>
      <c r="E2" s="23"/>
      <c r="F2" s="23"/>
      <c r="G2" s="23"/>
      <c r="H2" s="23"/>
      <c r="I2" s="23"/>
      <c r="J2" s="23"/>
      <c r="K2" s="23"/>
      <c r="M2" s="118" t="s">
        <v>122</v>
      </c>
      <c r="N2" s="118"/>
    </row>
    <row r="4" spans="1:14" s="4" customFormat="1" ht="15.75" thickBot="1" x14ac:dyDescent="0.3">
      <c r="B4" s="131"/>
      <c r="C4" s="64" t="s">
        <v>45</v>
      </c>
      <c r="D4" s="64" t="s">
        <v>17</v>
      </c>
      <c r="E4" s="64" t="s">
        <v>18</v>
      </c>
      <c r="F4" s="64" t="s">
        <v>120</v>
      </c>
      <c r="G4" s="64" t="s">
        <v>119</v>
      </c>
      <c r="H4" s="64" t="s">
        <v>121</v>
      </c>
      <c r="I4" s="64" t="s">
        <v>118</v>
      </c>
      <c r="J4" s="66" t="s">
        <v>117</v>
      </c>
      <c r="K4" s="52" t="s">
        <v>2</v>
      </c>
      <c r="L4" s="1"/>
      <c r="M4" s="65" t="s">
        <v>123</v>
      </c>
      <c r="N4" s="66" t="s">
        <v>124</v>
      </c>
    </row>
    <row r="5" spans="1:14" s="4" customFormat="1" x14ac:dyDescent="0.25">
      <c r="B5" s="47" t="s">
        <v>65</v>
      </c>
      <c r="C5" s="147">
        <v>3733</v>
      </c>
      <c r="D5" s="147">
        <v>3036</v>
      </c>
      <c r="E5" s="147">
        <v>1478</v>
      </c>
      <c r="F5" s="147">
        <v>1455.98549</v>
      </c>
      <c r="G5" s="147">
        <v>1363.2525899999998</v>
      </c>
      <c r="H5" s="147">
        <v>2922.9176800000005</v>
      </c>
      <c r="I5" s="147">
        <v>1458.5712900000001</v>
      </c>
      <c r="J5" s="149">
        <v>1379.12904</v>
      </c>
      <c r="K5" s="48">
        <f>+J5/I5-1</f>
        <v>-5.4465798514380492E-2</v>
      </c>
      <c r="L5" s="1"/>
      <c r="M5" s="148">
        <f>I5-F5</f>
        <v>2.5858000000000629</v>
      </c>
      <c r="N5" s="149">
        <f>J5-G5</f>
        <v>15.876450000000204</v>
      </c>
    </row>
    <row r="6" spans="1:14" s="4" customFormat="1" x14ac:dyDescent="0.25">
      <c r="B6" s="47" t="s">
        <v>66</v>
      </c>
      <c r="C6" s="147">
        <v>3215</v>
      </c>
      <c r="D6" s="147">
        <v>3045</v>
      </c>
      <c r="E6" s="147">
        <v>2005.9999999999998</v>
      </c>
      <c r="F6" s="147">
        <v>1076.1931599999994</v>
      </c>
      <c r="G6" s="147">
        <v>678.65083999999956</v>
      </c>
      <c r="H6" s="147">
        <v>2324.0937800000011</v>
      </c>
      <c r="I6" s="147">
        <v>1494.5009200000009</v>
      </c>
      <c r="J6" s="149">
        <v>1032.8062699999991</v>
      </c>
      <c r="K6" s="48">
        <f t="shared" ref="K6:K11" si="0">+J6/I6-1</f>
        <v>-0.30892898346292186</v>
      </c>
      <c r="L6" s="1"/>
      <c r="M6" s="148">
        <f t="shared" ref="M6:N10" si="1">I6-F6</f>
        <v>418.30776000000151</v>
      </c>
      <c r="N6" s="149">
        <f t="shared" si="1"/>
        <v>354.15542999999957</v>
      </c>
    </row>
    <row r="7" spans="1:14" s="4" customFormat="1" x14ac:dyDescent="0.25">
      <c r="B7" s="124" t="s">
        <v>9</v>
      </c>
      <c r="C7" s="67">
        <v>-223</v>
      </c>
      <c r="D7" s="67">
        <v>-328</v>
      </c>
      <c r="E7" s="67">
        <v>-292</v>
      </c>
      <c r="F7" s="67">
        <v>-326.50592000000017</v>
      </c>
      <c r="G7" s="67">
        <v>-31.639760000000294</v>
      </c>
      <c r="H7" s="67">
        <v>-236.41472000000036</v>
      </c>
      <c r="I7" s="67">
        <v>-416.03276999999957</v>
      </c>
      <c r="J7" s="144">
        <v>-37.001470000000211</v>
      </c>
      <c r="K7" s="49">
        <f t="shared" si="0"/>
        <v>-0.91106116472507626</v>
      </c>
      <c r="L7" s="1"/>
      <c r="M7" s="150">
        <f t="shared" si="1"/>
        <v>-89.526849999999399</v>
      </c>
      <c r="N7" s="144">
        <f t="shared" si="1"/>
        <v>-5.3617099999999169</v>
      </c>
    </row>
    <row r="8" spans="1:14" s="4" customFormat="1" x14ac:dyDescent="0.25">
      <c r="B8" s="124" t="s">
        <v>59</v>
      </c>
      <c r="C8" s="67">
        <v>-751</v>
      </c>
      <c r="D8" s="67">
        <v>-724</v>
      </c>
      <c r="E8" s="67">
        <v>-708</v>
      </c>
      <c r="F8" s="67">
        <v>-416.92200000000003</v>
      </c>
      <c r="G8" s="67">
        <v>-172.00487000000001</v>
      </c>
      <c r="H8" s="67">
        <v>-536.81047999999998</v>
      </c>
      <c r="I8" s="67">
        <v>-499.85578000000004</v>
      </c>
      <c r="J8" s="144">
        <v>-386.88099</v>
      </c>
      <c r="K8" s="49">
        <f t="shared" si="0"/>
        <v>-0.22601477170074946</v>
      </c>
      <c r="L8" s="1"/>
      <c r="M8" s="150">
        <f t="shared" si="1"/>
        <v>-82.933780000000013</v>
      </c>
      <c r="N8" s="144">
        <f t="shared" si="1"/>
        <v>-214.87611999999999</v>
      </c>
    </row>
    <row r="9" spans="1:14" s="4" customFormat="1" x14ac:dyDescent="0.25">
      <c r="B9" s="124" t="s">
        <v>10</v>
      </c>
      <c r="C9" s="67">
        <v>-1055</v>
      </c>
      <c r="D9" s="67">
        <v>-877</v>
      </c>
      <c r="E9" s="67">
        <v>-342</v>
      </c>
      <c r="F9" s="67">
        <v>-84.976086649599992</v>
      </c>
      <c r="G9" s="67">
        <v>-10.515027059199998</v>
      </c>
      <c r="H9" s="67">
        <v>-546.89414447900003</v>
      </c>
      <c r="I9" s="67">
        <v>-199.36252122880001</v>
      </c>
      <c r="J9" s="144">
        <v>-12.3646754888</v>
      </c>
      <c r="K9" s="49">
        <f t="shared" si="0"/>
        <v>-0.93797893700085389</v>
      </c>
      <c r="L9" s="1"/>
      <c r="M9" s="150">
        <f t="shared" si="1"/>
        <v>-114.38643457920001</v>
      </c>
      <c r="N9" s="144">
        <f t="shared" si="1"/>
        <v>-1.849648429600002</v>
      </c>
    </row>
    <row r="10" spans="1:14" s="4" customFormat="1" ht="15.75" thickBot="1" x14ac:dyDescent="0.3">
      <c r="B10" s="124" t="s">
        <v>11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30">
        <v>0</v>
      </c>
      <c r="K10" s="49" t="s">
        <v>62</v>
      </c>
      <c r="L10" s="1"/>
      <c r="M10" s="24">
        <f t="shared" si="1"/>
        <v>0</v>
      </c>
      <c r="N10" s="30">
        <f t="shared" si="1"/>
        <v>0</v>
      </c>
    </row>
    <row r="11" spans="1:14" s="4" customFormat="1" ht="15.75" thickBot="1" x14ac:dyDescent="0.3">
      <c r="B11" s="132" t="s">
        <v>0</v>
      </c>
      <c r="C11" s="145">
        <f>SUM(C6:C10)</f>
        <v>1186</v>
      </c>
      <c r="D11" s="145">
        <f>SUM(D6:D10)</f>
        <v>1116</v>
      </c>
      <c r="E11" s="145">
        <f t="shared" ref="E11:J11" si="2">SUM(E6:E10)</f>
        <v>663.99999999999977</v>
      </c>
      <c r="F11" s="145">
        <f t="shared" si="2"/>
        <v>247.78915335039915</v>
      </c>
      <c r="G11" s="145">
        <f t="shared" si="2"/>
        <v>464.49118294079932</v>
      </c>
      <c r="H11" s="151">
        <f t="shared" si="2"/>
        <v>1003.9744355210007</v>
      </c>
      <c r="I11" s="151">
        <f t="shared" si="2"/>
        <v>379.24984877120119</v>
      </c>
      <c r="J11" s="146">
        <f t="shared" si="2"/>
        <v>596.55913451119898</v>
      </c>
      <c r="K11" s="54">
        <f t="shared" si="0"/>
        <v>0.57299768594264888</v>
      </c>
      <c r="L11" s="1"/>
      <c r="M11" s="151">
        <f t="shared" ref="M11:N11" si="3">SUM(M6:M10)</f>
        <v>131.4606954208021</v>
      </c>
      <c r="N11" s="146">
        <f t="shared" si="3"/>
        <v>132.06795157039969</v>
      </c>
    </row>
    <row r="12" spans="1:14" s="4" customFormat="1" ht="9" customHeight="1" x14ac:dyDescent="0.25">
      <c r="B12" s="47"/>
      <c r="C12" s="67"/>
      <c r="D12" s="67"/>
      <c r="E12" s="67"/>
      <c r="F12" s="67"/>
      <c r="G12" s="67"/>
      <c r="H12" s="67"/>
      <c r="I12" s="67"/>
      <c r="J12" s="67"/>
      <c r="K12" s="68"/>
      <c r="L12" s="1"/>
    </row>
    <row r="13" spans="1:14" s="4" customFormat="1" x14ac:dyDescent="0.25">
      <c r="B13" s="122"/>
      <c r="C13" s="69"/>
      <c r="D13" s="69"/>
      <c r="E13" s="69"/>
      <c r="F13" s="69"/>
      <c r="G13" s="69"/>
      <c r="H13" s="69"/>
      <c r="I13" s="69"/>
      <c r="J13" s="69"/>
      <c r="K13" s="44" t="s">
        <v>97</v>
      </c>
      <c r="L13" s="1"/>
      <c r="N13" s="44" t="s">
        <v>97</v>
      </c>
    </row>
    <row r="14" spans="1:14" s="4" customFormat="1" x14ac:dyDescent="0.25">
      <c r="B14" s="122"/>
      <c r="C14" s="69"/>
      <c r="D14" s="69"/>
      <c r="E14" s="69"/>
      <c r="F14" s="69"/>
      <c r="G14" s="69"/>
      <c r="H14" s="69"/>
      <c r="I14" s="69"/>
      <c r="J14" s="69"/>
      <c r="K14" s="69"/>
      <c r="L14" s="1"/>
    </row>
    <row r="15" spans="1:14" s="4" customFormat="1" x14ac:dyDescent="0.25">
      <c r="B15" s="47"/>
      <c r="C15" s="67"/>
      <c r="D15" s="67"/>
      <c r="E15" s="67"/>
      <c r="F15" s="67"/>
      <c r="G15" s="67"/>
      <c r="H15" s="67"/>
      <c r="I15" s="67"/>
      <c r="J15" s="67"/>
      <c r="K15" s="68"/>
      <c r="L15" s="1"/>
    </row>
    <row r="16" spans="1:14" s="4" customFormat="1" ht="15.75" thickBot="1" x14ac:dyDescent="0.3">
      <c r="B16" s="131"/>
      <c r="C16" s="64" t="s">
        <v>45</v>
      </c>
      <c r="D16" s="64" t="s">
        <v>17</v>
      </c>
      <c r="E16" s="64" t="s">
        <v>18</v>
      </c>
      <c r="F16" s="64" t="s">
        <v>120</v>
      </c>
      <c r="G16" s="64" t="s">
        <v>119</v>
      </c>
      <c r="H16" s="64" t="s">
        <v>121</v>
      </c>
      <c r="I16" s="64" t="s">
        <v>118</v>
      </c>
      <c r="J16" s="66" t="s">
        <v>117</v>
      </c>
      <c r="K16" s="53" t="s">
        <v>12</v>
      </c>
      <c r="L16" s="1"/>
      <c r="M16" s="65" t="s">
        <v>123</v>
      </c>
      <c r="N16" s="66" t="s">
        <v>124</v>
      </c>
    </row>
    <row r="17" spans="2:14" s="4" customFormat="1" x14ac:dyDescent="0.25">
      <c r="B17" s="124" t="s">
        <v>13</v>
      </c>
      <c r="C17" s="68">
        <f>-C7/C6</f>
        <v>6.9362363919129089E-2</v>
      </c>
      <c r="D17" s="68">
        <f>-D7/D6</f>
        <v>0.10771756978653531</v>
      </c>
      <c r="E17" s="68">
        <f t="shared" ref="E17:J17" si="4">-E7/E6</f>
        <v>0.14556331006979065</v>
      </c>
      <c r="F17" s="68">
        <f t="shared" ref="F17:H17" si="5">-F7/F6</f>
        <v>0.30338970004232363</v>
      </c>
      <c r="G17" s="68">
        <f t="shared" si="5"/>
        <v>4.6621558738511711E-2</v>
      </c>
      <c r="H17" s="68">
        <f t="shared" si="5"/>
        <v>0.10172339947486983</v>
      </c>
      <c r="I17" s="70">
        <f t="shared" si="4"/>
        <v>0.27837572023709384</v>
      </c>
      <c r="J17" s="71">
        <f t="shared" si="4"/>
        <v>3.5826147724684364E-2</v>
      </c>
      <c r="K17" s="50">
        <f>(J17-I17)*100</f>
        <v>-24.254957251240945</v>
      </c>
      <c r="L17" s="1"/>
      <c r="M17" s="68">
        <f t="shared" ref="M17:N17" si="6">-M7/M6</f>
        <v>0.21402148982366256</v>
      </c>
      <c r="N17" s="71">
        <f t="shared" si="6"/>
        <v>1.5139426211818702E-2</v>
      </c>
    </row>
    <row r="18" spans="2:14" s="4" customFormat="1" ht="15.75" thickBot="1" x14ac:dyDescent="0.3">
      <c r="B18" s="124" t="s">
        <v>14</v>
      </c>
      <c r="C18" s="68">
        <f>-(C9+C10+C8)/C6</f>
        <v>0.56174183514774489</v>
      </c>
      <c r="D18" s="68">
        <f>-(D9+D10+D8)/D6</f>
        <v>0.52577996715927755</v>
      </c>
      <c r="E18" s="68">
        <f>-(E9+E10+E8)/E6</f>
        <v>0.52342971086739787</v>
      </c>
      <c r="F18" s="68">
        <f t="shared" ref="F18:H18" si="7">-(F9+F10+F8)/F6</f>
        <v>0.46636431572339704</v>
      </c>
      <c r="G18" s="68">
        <f t="shared" si="7"/>
        <v>0.26894521645210095</v>
      </c>
      <c r="H18" s="68">
        <f t="shared" si="7"/>
        <v>0.46629126320324277</v>
      </c>
      <c r="I18" s="70">
        <f t="shared" ref="I18:J18" si="8">-(I9+I10+I8)/I6</f>
        <v>0.46786073656535432</v>
      </c>
      <c r="J18" s="71">
        <f t="shared" si="8"/>
        <v>0.38656394435792912</v>
      </c>
      <c r="K18" s="50">
        <f t="shared" ref="K18:K19" si="9">(J18-I18)*100</f>
        <v>-8.1296792207425188</v>
      </c>
      <c r="L18" s="1"/>
      <c r="M18" s="68">
        <f t="shared" ref="M18:N18" si="10">-(M9+M10+M8)/M6</f>
        <v>0.47171062420453136</v>
      </c>
      <c r="N18" s="71">
        <f t="shared" si="10"/>
        <v>0.61195099685355736</v>
      </c>
    </row>
    <row r="19" spans="2:14" s="4" customFormat="1" ht="15.75" thickBot="1" x14ac:dyDescent="0.3">
      <c r="B19" s="132" t="s">
        <v>1</v>
      </c>
      <c r="C19" s="72">
        <f>-(C7+C9+C10+C8)/C6</f>
        <v>0.63110419906687398</v>
      </c>
      <c r="D19" s="72">
        <f>-(D7+D9+D10+D8)/D6</f>
        <v>0.63349753694581279</v>
      </c>
      <c r="E19" s="72">
        <f>-(E7+E9+E10+E8)/E6</f>
        <v>0.66899302093718849</v>
      </c>
      <c r="F19" s="72">
        <f t="shared" ref="F19:H19" si="11">-(F7+F9+F10+F8)/F6</f>
        <v>0.76975401576572067</v>
      </c>
      <c r="G19" s="72">
        <f t="shared" si="11"/>
        <v>0.31556677519061266</v>
      </c>
      <c r="H19" s="72">
        <f t="shared" si="11"/>
        <v>0.56801466267811263</v>
      </c>
      <c r="I19" s="73">
        <f t="shared" ref="I19:J19" si="12">-(I7+I9+I10+I8)/I6</f>
        <v>0.74623645680244821</v>
      </c>
      <c r="J19" s="74">
        <f t="shared" si="12"/>
        <v>0.42239009208261352</v>
      </c>
      <c r="K19" s="55">
        <f t="shared" si="9"/>
        <v>-32.38463647198347</v>
      </c>
      <c r="L19" s="67"/>
      <c r="M19" s="72">
        <f t="shared" ref="M19:N19" si="13">-(M7+M9+M10+M8)/M6</f>
        <v>0.6857321140281939</v>
      </c>
      <c r="N19" s="74">
        <f t="shared" si="13"/>
        <v>0.6270904230653761</v>
      </c>
    </row>
    <row r="20" spans="2:14" s="4" customFormat="1" x14ac:dyDescent="0.25">
      <c r="B20" s="47"/>
      <c r="C20" s="45"/>
      <c r="D20" s="45"/>
      <c r="E20" s="45"/>
      <c r="F20" s="45"/>
      <c r="G20" s="45"/>
      <c r="H20" s="45"/>
      <c r="I20" s="45"/>
      <c r="J20" s="45"/>
      <c r="K20" s="46"/>
      <c r="L20" s="126"/>
    </row>
    <row r="21" spans="2:14" s="4" customFormat="1" x14ac:dyDescent="0.25">
      <c r="K21" s="8"/>
      <c r="L21" s="1"/>
    </row>
    <row r="22" spans="2:14" x14ac:dyDescent="0.2">
      <c r="M22" s="4"/>
      <c r="N22" s="4"/>
    </row>
  </sheetData>
  <hyperlinks>
    <hyperlink ref="A2" location="'Financial supplement&gt;&gt;&gt;'!A1" display="INDEX" xr:uid="{B77D0C5F-C909-4C0B-9487-5825477AAB7E}"/>
  </hyperlinks>
  <pageMargins left="0.7" right="0.7" top="0.75" bottom="0.75" header="0.3" footer="0.3"/>
  <pageSetup paperSize="9" orientation="portrait" r:id="rId1"/>
  <ignoredErrors>
    <ignoredError sqref="C11:E11 F11:J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dimension ref="A1:H54"/>
  <sheetViews>
    <sheetView showGridLines="0" zoomScaleNormal="100" workbookViewId="0"/>
  </sheetViews>
  <sheetFormatPr baseColWidth="10" defaultColWidth="10.85546875" defaultRowHeight="12.75" x14ac:dyDescent="0.2"/>
  <cols>
    <col min="1" max="1" width="10.7109375" style="7" customWidth="1"/>
    <col min="2" max="2" width="39" style="7" customWidth="1"/>
    <col min="3" max="6" width="13.5703125" style="7" customWidth="1"/>
    <col min="7" max="7" width="10.140625" style="7" bestFit="1" customWidth="1"/>
    <col min="8" max="8" width="9.7109375" style="7" customWidth="1"/>
    <col min="9" max="16384" width="10.85546875" style="7"/>
  </cols>
  <sheetData>
    <row r="1" spans="1:8" ht="16.5" customHeight="1" x14ac:dyDescent="0.2"/>
    <row r="2" spans="1:8" ht="18.75" customHeight="1" thickBot="1" x14ac:dyDescent="0.25">
      <c r="A2" s="105" t="s">
        <v>109</v>
      </c>
      <c r="B2" s="23" t="s">
        <v>19</v>
      </c>
      <c r="C2" s="23"/>
      <c r="D2" s="23"/>
      <c r="E2" s="23"/>
      <c r="F2" s="23"/>
      <c r="G2" s="23"/>
      <c r="H2" s="23"/>
    </row>
    <row r="4" spans="1:8" ht="14.25" thickBot="1" x14ac:dyDescent="0.25">
      <c r="B4" s="39"/>
      <c r="C4" s="51" t="s">
        <v>45</v>
      </c>
      <c r="D4" s="51" t="s">
        <v>17</v>
      </c>
      <c r="E4" s="51" t="s">
        <v>18</v>
      </c>
      <c r="F4" s="51" t="s">
        <v>119</v>
      </c>
      <c r="G4" s="141" t="s">
        <v>117</v>
      </c>
      <c r="H4" s="142"/>
    </row>
    <row r="5" spans="1:8" ht="13.5" x14ac:dyDescent="0.2">
      <c r="B5" s="109" t="s">
        <v>21</v>
      </c>
      <c r="C5" s="117">
        <f>C6+C13</f>
        <v>696945.09054</v>
      </c>
      <c r="D5" s="117">
        <f>D6+D13</f>
        <v>720797.13546999998</v>
      </c>
      <c r="E5" s="117">
        <f>E6+E13</f>
        <v>801209.28558999998</v>
      </c>
      <c r="F5" s="117">
        <f>F6+F13</f>
        <v>763181.63952000008</v>
      </c>
      <c r="G5" s="152">
        <f>G6+G13</f>
        <v>745007.29775000003</v>
      </c>
      <c r="H5" s="75">
        <f t="shared" ref="H5:H20" si="0">G5/G$21</f>
        <v>0.77203820897884257</v>
      </c>
    </row>
    <row r="6" spans="1:8" ht="13.5" x14ac:dyDescent="0.2">
      <c r="B6" s="110" t="s">
        <v>68</v>
      </c>
      <c r="C6" s="117">
        <f>SUM(C7:C12)</f>
        <v>397566.68119000003</v>
      </c>
      <c r="D6" s="117">
        <f>SUM(D7:D12)</f>
        <v>394655.81483999995</v>
      </c>
      <c r="E6" s="117">
        <f>SUM(E7:E12)</f>
        <v>438763.14398999995</v>
      </c>
      <c r="F6" s="117">
        <f>SUM(F7:F12)</f>
        <v>418540.33270000003</v>
      </c>
      <c r="G6" s="152">
        <f>SUM(G7:G12)</f>
        <v>408025.55336999998</v>
      </c>
      <c r="H6" s="75">
        <f t="shared" si="0"/>
        <v>0.42282984125490186</v>
      </c>
    </row>
    <row r="7" spans="1:8" ht="13.5" x14ac:dyDescent="0.2">
      <c r="B7" s="111" t="s">
        <v>22</v>
      </c>
      <c r="C7" s="153">
        <v>263898.88505000004</v>
      </c>
      <c r="D7" s="153">
        <v>247394.05644000001</v>
      </c>
      <c r="E7" s="153">
        <v>216811.94155999995</v>
      </c>
      <c r="F7" s="153">
        <v>191256.32794000002</v>
      </c>
      <c r="G7" s="154">
        <v>190851.67304999998</v>
      </c>
      <c r="H7" s="76">
        <f t="shared" si="0"/>
        <v>0.19777629600023286</v>
      </c>
    </row>
    <row r="8" spans="1:8" ht="13.5" x14ac:dyDescent="0.2">
      <c r="B8" s="111" t="s">
        <v>23</v>
      </c>
      <c r="C8" s="153">
        <v>80202.5</v>
      </c>
      <c r="D8" s="153">
        <v>91853.940789999993</v>
      </c>
      <c r="E8" s="153">
        <v>157271.44813</v>
      </c>
      <c r="F8" s="153">
        <v>154385.95438999997</v>
      </c>
      <c r="G8" s="154">
        <v>153206.33181999999</v>
      </c>
      <c r="H8" s="76">
        <f t="shared" si="0"/>
        <v>0.15876507838212117</v>
      </c>
    </row>
    <row r="9" spans="1:8" ht="13.5" x14ac:dyDescent="0.2">
      <c r="B9" s="111" t="s">
        <v>24</v>
      </c>
      <c r="C9" s="153">
        <v>47496.68894</v>
      </c>
      <c r="D9" s="153">
        <v>48972.218159999997</v>
      </c>
      <c r="E9" s="153">
        <v>57670.556810000002</v>
      </c>
      <c r="F9" s="153">
        <v>57323.137220000004</v>
      </c>
      <c r="G9" s="154">
        <v>48263.515060000005</v>
      </c>
      <c r="H9" s="76">
        <f t="shared" si="0"/>
        <v>5.0014647961810245E-2</v>
      </c>
    </row>
    <row r="10" spans="1:8" ht="13.5" x14ac:dyDescent="0.2">
      <c r="B10" s="111" t="s">
        <v>25</v>
      </c>
      <c r="C10" s="153">
        <v>4214.27945</v>
      </c>
      <c r="D10" s="153">
        <v>4648.5994499999997</v>
      </c>
      <c r="E10" s="155">
        <v>0</v>
      </c>
      <c r="F10" s="155">
        <v>0</v>
      </c>
      <c r="G10" s="156">
        <v>0</v>
      </c>
      <c r="H10" s="76">
        <f t="shared" si="0"/>
        <v>0</v>
      </c>
    </row>
    <row r="11" spans="1:8" ht="13.5" x14ac:dyDescent="0.2">
      <c r="B11" s="111" t="s">
        <v>26</v>
      </c>
      <c r="C11" s="153">
        <v>1754.3277499999999</v>
      </c>
      <c r="D11" s="153">
        <v>1787</v>
      </c>
      <c r="E11" s="153">
        <v>1629.18226</v>
      </c>
      <c r="F11" s="153">
        <v>2892.6556099999998</v>
      </c>
      <c r="G11" s="154">
        <v>2925.6419800000003</v>
      </c>
      <c r="H11" s="76">
        <f t="shared" si="0"/>
        <v>3.0317923075036278E-3</v>
      </c>
    </row>
    <row r="12" spans="1:8" ht="13.5" x14ac:dyDescent="0.2">
      <c r="B12" s="111" t="s">
        <v>6</v>
      </c>
      <c r="C12" s="155">
        <v>0</v>
      </c>
      <c r="D12" s="155">
        <v>0</v>
      </c>
      <c r="E12" s="153">
        <v>5380.01523</v>
      </c>
      <c r="F12" s="153">
        <v>12682.257540000001</v>
      </c>
      <c r="G12" s="154">
        <v>12778.391460000013</v>
      </c>
      <c r="H12" s="76">
        <f t="shared" si="0"/>
        <v>1.3242026603233963E-2</v>
      </c>
    </row>
    <row r="13" spans="1:8" ht="13.5" x14ac:dyDescent="0.2">
      <c r="B13" s="110" t="s">
        <v>67</v>
      </c>
      <c r="C13" s="117">
        <f>SUM(C14:C16)</f>
        <v>299378.40934999997</v>
      </c>
      <c r="D13" s="117">
        <f>SUM(D14:D16)</f>
        <v>326141.32063000003</v>
      </c>
      <c r="E13" s="117">
        <f>SUM(E14:E16)</f>
        <v>362446.14160000003</v>
      </c>
      <c r="F13" s="117">
        <f>SUM(F14:F16)</f>
        <v>344641.30682000006</v>
      </c>
      <c r="G13" s="152">
        <f>SUM(G14:G16)</f>
        <v>336981.74438000005</v>
      </c>
      <c r="H13" s="75">
        <f t="shared" si="0"/>
        <v>0.34920836772394065</v>
      </c>
    </row>
    <row r="14" spans="1:8" ht="13.5" x14ac:dyDescent="0.2">
      <c r="B14" s="111" t="s">
        <v>22</v>
      </c>
      <c r="C14" s="153">
        <v>137460.92869</v>
      </c>
      <c r="D14" s="153">
        <v>169933.97990999999</v>
      </c>
      <c r="E14" s="153">
        <v>199091</v>
      </c>
      <c r="F14" s="153">
        <v>177548.82938000007</v>
      </c>
      <c r="G14" s="154">
        <v>175125.73391000001</v>
      </c>
      <c r="H14" s="76">
        <f t="shared" si="0"/>
        <v>0.18147977659052636</v>
      </c>
    </row>
    <row r="15" spans="1:8" ht="13.5" x14ac:dyDescent="0.2">
      <c r="B15" s="111" t="s">
        <v>27</v>
      </c>
      <c r="C15" s="153">
        <v>130336.4</v>
      </c>
      <c r="D15" s="153">
        <v>123472.05232</v>
      </c>
      <c r="E15" s="153">
        <v>137084.19157</v>
      </c>
      <c r="F15" s="153">
        <v>139230.51219000001</v>
      </c>
      <c r="G15" s="154">
        <v>133782.97309000004</v>
      </c>
      <c r="H15" s="76">
        <f t="shared" si="0"/>
        <v>0.13863698684321824</v>
      </c>
    </row>
    <row r="16" spans="1:8" ht="13.5" x14ac:dyDescent="0.2">
      <c r="B16" s="111" t="s">
        <v>28</v>
      </c>
      <c r="C16" s="153">
        <v>31581.080659999996</v>
      </c>
      <c r="D16" s="153">
        <v>32735.288400000001</v>
      </c>
      <c r="E16" s="153">
        <v>26270.950030000004</v>
      </c>
      <c r="F16" s="153">
        <v>27861.965250000005</v>
      </c>
      <c r="G16" s="154">
        <v>28073.037379999998</v>
      </c>
      <c r="H16" s="76">
        <f t="shared" si="0"/>
        <v>2.9091604290196089E-2</v>
      </c>
    </row>
    <row r="17" spans="2:8" ht="13.5" x14ac:dyDescent="0.2">
      <c r="B17" s="109" t="s">
        <v>29</v>
      </c>
      <c r="C17" s="117">
        <v>45094</v>
      </c>
      <c r="D17" s="117">
        <v>59231</v>
      </c>
      <c r="E17" s="117">
        <v>60536</v>
      </c>
      <c r="F17" s="117">
        <v>76562.713789999994</v>
      </c>
      <c r="G17" s="152">
        <v>81843.143499999991</v>
      </c>
      <c r="H17" s="75">
        <f t="shared" si="0"/>
        <v>8.4812637561761911E-2</v>
      </c>
    </row>
    <row r="18" spans="2:8" ht="13.5" x14ac:dyDescent="0.2">
      <c r="B18" s="111" t="s">
        <v>60</v>
      </c>
      <c r="C18" s="153">
        <v>10300</v>
      </c>
      <c r="D18" s="153">
        <v>19416</v>
      </c>
      <c r="E18" s="153">
        <v>19795</v>
      </c>
      <c r="F18" s="153">
        <v>19594.807510000002</v>
      </c>
      <c r="G18" s="154">
        <v>19784.42151</v>
      </c>
      <c r="H18" s="76">
        <f t="shared" si="0"/>
        <v>2.0502254668367626E-2</v>
      </c>
    </row>
    <row r="19" spans="2:8" ht="13.5" x14ac:dyDescent="0.2">
      <c r="B19" s="109" t="s">
        <v>30</v>
      </c>
      <c r="C19" s="117">
        <v>43669</v>
      </c>
      <c r="D19" s="117">
        <v>57457</v>
      </c>
      <c r="E19" s="117">
        <v>65319</v>
      </c>
      <c r="F19" s="117">
        <v>78292.046489999993</v>
      </c>
      <c r="G19" s="152">
        <v>72423.517140000011</v>
      </c>
      <c r="H19" s="75">
        <f t="shared" si="0"/>
        <v>7.5051241282574552E-2</v>
      </c>
    </row>
    <row r="20" spans="2:8" ht="14.25" thickBot="1" x14ac:dyDescent="0.25">
      <c r="B20" s="109" t="s">
        <v>108</v>
      </c>
      <c r="C20" s="117">
        <v>67458</v>
      </c>
      <c r="D20" s="117">
        <v>66670</v>
      </c>
      <c r="E20" s="117">
        <v>65947.506580000001</v>
      </c>
      <c r="F20" s="117">
        <v>65906</v>
      </c>
      <c r="G20" s="152">
        <v>65713.640780000002</v>
      </c>
      <c r="H20" s="75">
        <f t="shared" si="0"/>
        <v>6.8097912176820985E-2</v>
      </c>
    </row>
    <row r="21" spans="2:8" ht="13.5" x14ac:dyDescent="0.2">
      <c r="B21" s="112" t="s">
        <v>116</v>
      </c>
      <c r="C21" s="157">
        <f t="shared" ref="C21:G21" si="1">C5+C17+C19+C20</f>
        <v>853166.09054</v>
      </c>
      <c r="D21" s="157">
        <f t="shared" si="1"/>
        <v>904155.13546999998</v>
      </c>
      <c r="E21" s="157">
        <f t="shared" si="1"/>
        <v>993011.79217000003</v>
      </c>
      <c r="F21" s="157">
        <f t="shared" si="1"/>
        <v>983942.39980000001</v>
      </c>
      <c r="G21" s="158">
        <f t="shared" si="1"/>
        <v>964987.59917000006</v>
      </c>
      <c r="H21" s="113">
        <f>H5+H17+H19+H20</f>
        <v>1</v>
      </c>
    </row>
    <row r="22" spans="2:8" ht="14.25" thickBot="1" x14ac:dyDescent="0.25">
      <c r="B22" s="114" t="s">
        <v>20</v>
      </c>
      <c r="C22" s="117">
        <v>166776</v>
      </c>
      <c r="D22" s="117">
        <v>144937</v>
      </c>
      <c r="E22" s="117">
        <v>162500</v>
      </c>
      <c r="F22" s="117">
        <v>114152</v>
      </c>
      <c r="G22" s="152">
        <v>152205.01719000001</v>
      </c>
      <c r="H22" s="115" t="s">
        <v>62</v>
      </c>
    </row>
    <row r="23" spans="2:8" ht="14.25" thickBot="1" x14ac:dyDescent="0.25">
      <c r="B23" s="116" t="s">
        <v>7</v>
      </c>
      <c r="C23" s="159">
        <f t="shared" ref="C23:F23" si="2">C21+C22</f>
        <v>1019942.09054</v>
      </c>
      <c r="D23" s="159">
        <f t="shared" si="2"/>
        <v>1049092.1354700001</v>
      </c>
      <c r="E23" s="159">
        <f t="shared" si="2"/>
        <v>1155511.79217</v>
      </c>
      <c r="F23" s="159">
        <f t="shared" si="2"/>
        <v>1098094.3998</v>
      </c>
      <c r="G23" s="160">
        <f>G21+G22</f>
        <v>1117192.6163600001</v>
      </c>
      <c r="H23" s="77" t="s">
        <v>62</v>
      </c>
    </row>
    <row r="24" spans="2:8" ht="9" customHeight="1" x14ac:dyDescent="0.2">
      <c r="B24" s="34"/>
      <c r="C24" s="45"/>
      <c r="D24" s="45"/>
      <c r="E24" s="45"/>
      <c r="F24" s="45"/>
      <c r="G24" s="143"/>
      <c r="H24" s="143"/>
    </row>
    <row r="25" spans="2:8" ht="13.5" x14ac:dyDescent="0.2">
      <c r="B25" s="35"/>
      <c r="C25" s="35"/>
      <c r="D25" s="35"/>
      <c r="E25" s="35"/>
      <c r="F25" s="122"/>
      <c r="G25" s="45"/>
      <c r="H25" s="44" t="s">
        <v>97</v>
      </c>
    </row>
    <row r="28" spans="2:8" ht="14.25" thickBot="1" x14ac:dyDescent="0.25">
      <c r="B28" s="81" t="s">
        <v>21</v>
      </c>
      <c r="C28" s="51" t="s">
        <v>45</v>
      </c>
      <c r="D28" s="51" t="s">
        <v>17</v>
      </c>
      <c r="E28" s="51" t="s">
        <v>18</v>
      </c>
      <c r="F28" s="51" t="s">
        <v>119</v>
      </c>
      <c r="G28" s="141" t="s">
        <v>117</v>
      </c>
      <c r="H28" s="142"/>
    </row>
    <row r="29" spans="2:8" ht="13.5" x14ac:dyDescent="0.2">
      <c r="B29" s="82" t="s">
        <v>69</v>
      </c>
      <c r="C29" s="153">
        <v>1754.3277499999999</v>
      </c>
      <c r="D29" s="153">
        <v>1787.1552300000001</v>
      </c>
      <c r="E29" s="153">
        <v>3072.0408299999999</v>
      </c>
      <c r="F29" s="153">
        <v>6269.7599199999995</v>
      </c>
      <c r="G29" s="154">
        <v>6276.2913100000005</v>
      </c>
      <c r="H29" s="76">
        <f>G29/$G$35</f>
        <v>8.4244695709089819E-3</v>
      </c>
    </row>
    <row r="30" spans="2:8" ht="13.5" x14ac:dyDescent="0.2">
      <c r="B30" s="82" t="s">
        <v>70</v>
      </c>
      <c r="C30" s="153">
        <v>11947.257000000001</v>
      </c>
      <c r="D30" s="153">
        <v>3784.2071800000003</v>
      </c>
      <c r="E30" s="153">
        <v>7381.8541700000005</v>
      </c>
      <c r="F30" s="153">
        <v>9073.2807599999996</v>
      </c>
      <c r="G30" s="154">
        <v>9069.9954800000014</v>
      </c>
      <c r="H30" s="76">
        <f t="shared" ref="H30:H34" si="3">G30/$G$35</f>
        <v>1.2174371321451936E-2</v>
      </c>
    </row>
    <row r="31" spans="2:8" ht="13.5" x14ac:dyDescent="0.2">
      <c r="B31" s="82" t="s">
        <v>71</v>
      </c>
      <c r="C31" s="153">
        <v>317688.88505000004</v>
      </c>
      <c r="D31" s="153">
        <v>301027.18516999995</v>
      </c>
      <c r="E31" s="153">
        <v>353119.78262999991</v>
      </c>
      <c r="F31" s="153">
        <v>320644.50474</v>
      </c>
      <c r="G31" s="154">
        <v>311437.78323999984</v>
      </c>
      <c r="H31" s="76">
        <f t="shared" si="3"/>
        <v>0.41803319803789118</v>
      </c>
    </row>
    <row r="32" spans="2:8" ht="13.5" x14ac:dyDescent="0.2">
      <c r="B32" s="82" t="s">
        <v>72</v>
      </c>
      <c r="C32" s="153">
        <v>259911.57834000001</v>
      </c>
      <c r="D32" s="153">
        <v>354378.54846999998</v>
      </c>
      <c r="E32" s="153">
        <v>380743.04191000003</v>
      </c>
      <c r="F32" s="153">
        <v>387510.54088000004</v>
      </c>
      <c r="G32" s="154">
        <v>379236.58529999998</v>
      </c>
      <c r="H32" s="76">
        <f t="shared" si="3"/>
        <v>0.5090374100298537</v>
      </c>
    </row>
    <row r="33" spans="2:8" ht="13.5" x14ac:dyDescent="0.2">
      <c r="B33" s="82" t="s">
        <v>74</v>
      </c>
      <c r="C33" s="153">
        <v>88362</v>
      </c>
      <c r="D33" s="153">
        <v>21373.307949999999</v>
      </c>
      <c r="E33" s="153">
        <v>26532.45349</v>
      </c>
      <c r="F33" s="153">
        <v>24727.504110000002</v>
      </c>
      <c r="G33" s="154">
        <v>25652.796569999999</v>
      </c>
      <c r="H33" s="76">
        <f t="shared" si="3"/>
        <v>3.4432946693910428E-2</v>
      </c>
    </row>
    <row r="34" spans="2:8" ht="14.25" thickBot="1" x14ac:dyDescent="0.25">
      <c r="B34" s="83" t="s">
        <v>75</v>
      </c>
      <c r="C34" s="153">
        <v>17281</v>
      </c>
      <c r="D34" s="153">
        <v>38446.88670000001</v>
      </c>
      <c r="E34" s="153">
        <v>30360</v>
      </c>
      <c r="F34" s="153">
        <v>14956.049109999998</v>
      </c>
      <c r="G34" s="154">
        <v>13333.845850000002</v>
      </c>
      <c r="H34" s="76">
        <f t="shared" si="3"/>
        <v>1.7897604345983743E-2</v>
      </c>
    </row>
    <row r="35" spans="2:8" ht="14.25" thickBot="1" x14ac:dyDescent="0.25">
      <c r="B35" s="20" t="s">
        <v>7</v>
      </c>
      <c r="C35" s="159">
        <f>SUM(C29:C34)</f>
        <v>696945.04814000009</v>
      </c>
      <c r="D35" s="159">
        <f t="shared" ref="D35:F35" si="4">SUM(D29:D34)</f>
        <v>720797.29070000001</v>
      </c>
      <c r="E35" s="159">
        <f t="shared" si="4"/>
        <v>801209.17302999995</v>
      </c>
      <c r="F35" s="159">
        <f t="shared" si="4"/>
        <v>763181.63952000008</v>
      </c>
      <c r="G35" s="160">
        <f>SUM(G29:G34)</f>
        <v>745007.29774999979</v>
      </c>
      <c r="H35" s="77">
        <f>SUM(H29:H34)</f>
        <v>1</v>
      </c>
    </row>
    <row r="36" spans="2:8" ht="9" customHeight="1" x14ac:dyDescent="0.2">
      <c r="B36" s="34"/>
      <c r="C36" s="45"/>
      <c r="D36" s="45"/>
      <c r="E36" s="45"/>
      <c r="F36" s="45"/>
      <c r="G36" s="143"/>
      <c r="H36" s="143"/>
    </row>
    <row r="37" spans="2:8" ht="13.5" x14ac:dyDescent="0.2">
      <c r="H37" s="44" t="s">
        <v>97</v>
      </c>
    </row>
    <row r="40" spans="2:8" ht="14.25" thickBot="1" x14ac:dyDescent="0.25">
      <c r="B40" s="81" t="s">
        <v>29</v>
      </c>
      <c r="C40" s="51" t="s">
        <v>45</v>
      </c>
      <c r="D40" s="51" t="s">
        <v>17</v>
      </c>
      <c r="E40" s="51" t="s">
        <v>18</v>
      </c>
      <c r="F40" s="51" t="s">
        <v>119</v>
      </c>
      <c r="G40" s="141" t="s">
        <v>117</v>
      </c>
      <c r="H40" s="142"/>
    </row>
    <row r="41" spans="2:8" ht="13.5" x14ac:dyDescent="0.2">
      <c r="B41" s="82" t="s">
        <v>127</v>
      </c>
      <c r="C41" s="153">
        <v>10300</v>
      </c>
      <c r="D41" s="153">
        <v>32761.487000000001</v>
      </c>
      <c r="E41" s="153">
        <v>20803</v>
      </c>
      <c r="F41" s="153">
        <v>43914.543810000003</v>
      </c>
      <c r="G41" s="154">
        <v>20901.380010000001</v>
      </c>
      <c r="H41" s="76">
        <f>G41/$G$52</f>
        <v>0.25538339739658222</v>
      </c>
    </row>
    <row r="42" spans="2:8" ht="13.5" x14ac:dyDescent="0.2">
      <c r="B42" s="84" t="s">
        <v>60</v>
      </c>
      <c r="C42" s="153">
        <v>10300</v>
      </c>
      <c r="D42" s="153">
        <v>19416.487000000001</v>
      </c>
      <c r="E42" s="153">
        <v>19795</v>
      </c>
      <c r="F42" s="153">
        <v>19594.807510000002</v>
      </c>
      <c r="G42" s="154">
        <v>19784.42151</v>
      </c>
      <c r="H42" s="76">
        <f t="shared" ref="H42:H51" si="5">G42/$G$52</f>
        <v>0.24173584607009016</v>
      </c>
    </row>
    <row r="43" spans="2:8" ht="13.5" x14ac:dyDescent="0.2">
      <c r="B43" s="82" t="s">
        <v>76</v>
      </c>
      <c r="C43" s="153">
        <v>9142</v>
      </c>
      <c r="D43" s="153">
        <v>5850.9550600000002</v>
      </c>
      <c r="E43" s="153">
        <v>18320</v>
      </c>
      <c r="F43" s="153">
        <v>5313.1441399999994</v>
      </c>
      <c r="G43" s="154">
        <v>34980.550200000005</v>
      </c>
      <c r="H43" s="76">
        <f t="shared" si="5"/>
        <v>0.42740966140051989</v>
      </c>
    </row>
    <row r="44" spans="2:8" ht="13.5" x14ac:dyDescent="0.2">
      <c r="B44" s="82" t="s">
        <v>77</v>
      </c>
      <c r="C44" s="153">
        <v>5385</v>
      </c>
      <c r="D44" s="153">
        <v>5567.7613636297901</v>
      </c>
      <c r="E44" s="153">
        <v>5304</v>
      </c>
      <c r="F44" s="153">
        <v>5753.3986199999999</v>
      </c>
      <c r="G44" s="154">
        <v>5624.4766799999998</v>
      </c>
      <c r="H44" s="76">
        <f t="shared" si="5"/>
        <v>6.8722637568860184E-2</v>
      </c>
    </row>
    <row r="45" spans="2:8" ht="13.5" x14ac:dyDescent="0.2">
      <c r="B45" s="82" t="s">
        <v>73</v>
      </c>
      <c r="C45" s="153">
        <v>4490</v>
      </c>
      <c r="D45" s="153">
        <v>4964.6156432375501</v>
      </c>
      <c r="E45" s="153">
        <v>6155</v>
      </c>
      <c r="F45" s="153">
        <v>7277.2804699999997</v>
      </c>
      <c r="G45" s="154">
        <v>7617.477640000001</v>
      </c>
      <c r="H45" s="76">
        <f t="shared" si="5"/>
        <v>9.3074108904051239E-2</v>
      </c>
    </row>
    <row r="46" spans="2:8" ht="13.5" x14ac:dyDescent="0.2">
      <c r="B46" s="82" t="s">
        <v>78</v>
      </c>
      <c r="C46" s="153">
        <v>1336</v>
      </c>
      <c r="D46" s="153">
        <v>3889.5391</v>
      </c>
      <c r="E46" s="153">
        <v>1302</v>
      </c>
      <c r="F46" s="153">
        <v>1544.5237500000001</v>
      </c>
      <c r="G46" s="154">
        <v>1513.3387499999999</v>
      </c>
      <c r="H46" s="76">
        <f t="shared" si="5"/>
        <v>1.8490721244338402E-2</v>
      </c>
    </row>
    <row r="47" spans="2:8" ht="13.5" x14ac:dyDescent="0.2">
      <c r="B47" s="82" t="s">
        <v>79</v>
      </c>
      <c r="C47" s="153">
        <v>4544</v>
      </c>
      <c r="D47" s="153">
        <v>3702.924</v>
      </c>
      <c r="E47" s="153">
        <v>3394</v>
      </c>
      <c r="F47" s="153">
        <v>4429.0677999999998</v>
      </c>
      <c r="G47" s="154">
        <v>4432.8723</v>
      </c>
      <c r="H47" s="76">
        <f t="shared" si="5"/>
        <v>5.4163025965633424E-2</v>
      </c>
    </row>
    <row r="48" spans="2:8" ht="13.5" x14ac:dyDescent="0.2">
      <c r="B48" s="82" t="s">
        <v>80</v>
      </c>
      <c r="C48" s="153">
        <v>3986</v>
      </c>
      <c r="D48" s="153">
        <v>1169.0634</v>
      </c>
      <c r="E48" s="155">
        <v>0</v>
      </c>
      <c r="F48" s="153">
        <v>1114.8522</v>
      </c>
      <c r="G48" s="156">
        <v>0</v>
      </c>
      <c r="H48" s="76">
        <f t="shared" si="5"/>
        <v>0</v>
      </c>
    </row>
    <row r="49" spans="2:8" ht="13.5" x14ac:dyDescent="0.2">
      <c r="B49" s="82" t="s">
        <v>81</v>
      </c>
      <c r="C49" s="153">
        <v>4202</v>
      </c>
      <c r="D49" s="153">
        <v>1159.7223603899999</v>
      </c>
      <c r="E49" s="153">
        <v>3612</v>
      </c>
      <c r="F49" s="153">
        <v>4581.3446999999996</v>
      </c>
      <c r="G49" s="154">
        <v>4697.0367000000006</v>
      </c>
      <c r="H49" s="76">
        <f t="shared" si="5"/>
        <v>5.7390717243001377E-2</v>
      </c>
    </row>
    <row r="50" spans="2:8" ht="13.5" x14ac:dyDescent="0.2">
      <c r="B50" s="82" t="s">
        <v>82</v>
      </c>
      <c r="C50" s="153">
        <v>1709</v>
      </c>
      <c r="D50" s="153">
        <v>164.73599999999999</v>
      </c>
      <c r="E50" s="153">
        <v>1137</v>
      </c>
      <c r="F50" s="153">
        <v>1586.4165</v>
      </c>
      <c r="G50" s="154">
        <v>1452.1986000000002</v>
      </c>
      <c r="H50" s="76">
        <f t="shared" si="5"/>
        <v>1.7743680655780796E-2</v>
      </c>
    </row>
    <row r="51" spans="2:8" ht="14.25" thickBot="1" x14ac:dyDescent="0.25">
      <c r="B51" s="83" t="s">
        <v>83</v>
      </c>
      <c r="C51" s="155">
        <v>0</v>
      </c>
      <c r="D51" s="155">
        <v>0</v>
      </c>
      <c r="E51" s="153">
        <v>509</v>
      </c>
      <c r="F51" s="153">
        <v>1048.1078</v>
      </c>
      <c r="G51" s="154">
        <v>623.8125</v>
      </c>
      <c r="H51" s="76">
        <f t="shared" si="5"/>
        <v>7.6220496212324237E-3</v>
      </c>
    </row>
    <row r="52" spans="2:8" ht="14.25" thickBot="1" x14ac:dyDescent="0.25">
      <c r="B52" s="20" t="s">
        <v>7</v>
      </c>
      <c r="C52" s="159">
        <f t="shared" ref="C52" si="6">SUM(C41,C43:C51)</f>
        <v>45094</v>
      </c>
      <c r="D52" s="159">
        <f>SUM(D41,D43:D51)</f>
        <v>59230.803927257337</v>
      </c>
      <c r="E52" s="159">
        <f t="shared" ref="E52:G52" si="7">SUM(E41,E43:E51)</f>
        <v>60536</v>
      </c>
      <c r="F52" s="159">
        <f t="shared" si="7"/>
        <v>76562.679789999995</v>
      </c>
      <c r="G52" s="160">
        <f t="shared" si="7"/>
        <v>81843.143380000009</v>
      </c>
      <c r="H52" s="77">
        <f t="shared" ref="H52" si="8">SUM(H41,H43:H51)</f>
        <v>0.99999999999999989</v>
      </c>
    </row>
    <row r="53" spans="2:8" ht="9" customHeight="1" x14ac:dyDescent="0.2">
      <c r="B53" s="34"/>
      <c r="C53" s="45"/>
      <c r="D53" s="45"/>
      <c r="E53" s="45"/>
      <c r="F53" s="45"/>
      <c r="G53" s="143"/>
      <c r="H53" s="143"/>
    </row>
    <row r="54" spans="2:8" ht="13.5" x14ac:dyDescent="0.2">
      <c r="H54" s="44" t="s">
        <v>97</v>
      </c>
    </row>
  </sheetData>
  <mergeCells count="6">
    <mergeCell ref="G4:H4"/>
    <mergeCell ref="G24:H24"/>
    <mergeCell ref="G28:H28"/>
    <mergeCell ref="G36:H36"/>
    <mergeCell ref="G53:H53"/>
    <mergeCell ref="G40:H40"/>
  </mergeCells>
  <hyperlinks>
    <hyperlink ref="A2" location="'Financial supplement&gt;&gt;&gt;'!A1" display="INDEX" xr:uid="{936DC339-0DD5-4EB3-A631-CC20A7D0BCEE}"/>
  </hyperlinks>
  <pageMargins left="0.7" right="0.7" top="0.75" bottom="0.75" header="0.3" footer="0.3"/>
  <pageSetup paperSize="9" orientation="portrait" r:id="rId1"/>
  <ignoredErrors>
    <ignoredError sqref="B13 C13: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Financial supplement&gt;&gt;&gt;</vt:lpstr>
      <vt:lpstr>Balance sheet</vt:lpstr>
      <vt:lpstr>P&amp;L</vt:lpstr>
      <vt:lpstr>Business lines</vt:lpstr>
      <vt:lpstr>Motor</vt:lpstr>
      <vt:lpstr>Home</vt:lpstr>
      <vt:lpstr>Health</vt:lpstr>
      <vt:lpstr>Other</vt:lpstr>
      <vt:lpstr>Investments</vt:lpstr>
      <vt:lpstr>Solvency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dcterms:created xsi:type="dcterms:W3CDTF">2020-07-27T08:41:45Z</dcterms:created>
  <dcterms:modified xsi:type="dcterms:W3CDTF">2021-10-21T11:28:03Z</dcterms:modified>
</cp:coreProperties>
</file>