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1\6M 2021\4. Suplemento financiero\"/>
    </mc:Choice>
  </mc:AlternateContent>
  <xr:revisionPtr revIDLastSave="0" documentId="13_ncr:1_{0D3F7A2F-BAFC-414B-BB48-70833AEDEBE1}" xr6:coauthVersionLast="44" xr6:coauthVersionMax="45" xr10:uidLastSave="{00000000-0000-0000-0000-000000000000}"/>
  <bookViews>
    <workbookView xWindow="-120" yWindow="-120" windowWidth="29040" windowHeight="15840" tabRatio="841" xr2:uid="{5194AF5B-AFC5-46C3-A2BA-B646D8111C19}"/>
  </bookViews>
  <sheets>
    <sheet name="Financial supplement&gt;&gt;&gt;" sheetId="18" r:id="rId1"/>
    <sheet name="Balance sheet" sheetId="24" r:id="rId2"/>
    <sheet name="P&amp;L" sheetId="25" r:id="rId3"/>
    <sheet name="Business lines" sheetId="13" r:id="rId4"/>
    <sheet name="Motor" sheetId="14" r:id="rId5"/>
    <sheet name="Home" sheetId="20" r:id="rId6"/>
    <sheet name="Health" sheetId="21" r:id="rId7"/>
    <sheet name="Other" sheetId="22" r:id="rId8"/>
    <sheet name="Investments" sheetId="19" r:id="rId9"/>
    <sheet name="Solvency" sheetId="23" r:id="rId10"/>
  </sheets>
  <externalReferences>
    <externalReference r:id="rId11"/>
    <externalReference r:id="rId12"/>
  </externalReferences>
  <definedNames>
    <definedName name="_IsComposite">[1]Participant!$G$15</definedName>
    <definedName name="_TS_">[1]P.Index!$F$40</definedName>
    <definedName name="numeroescenarios">[2]Escenarios!$D$6</definedName>
    <definedName name="Version">[1]P.Index!$I$2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9" l="1"/>
  <c r="E21" i="19"/>
  <c r="E23" i="19" s="1"/>
  <c r="C21" i="19"/>
  <c r="F13" i="19"/>
  <c r="E13" i="19"/>
  <c r="D13" i="19"/>
  <c r="C13" i="19"/>
  <c r="F6" i="19"/>
  <c r="E6" i="19"/>
  <c r="D6" i="19"/>
  <c r="C6" i="19"/>
  <c r="F5" i="19"/>
  <c r="F21" i="19" s="1"/>
  <c r="E5" i="19"/>
  <c r="D5" i="19"/>
  <c r="D21" i="19" s="1"/>
  <c r="D23" i="19" s="1"/>
  <c r="C5" i="19"/>
  <c r="F23" i="19" l="1"/>
  <c r="G17" i="19"/>
  <c r="G10" i="19"/>
  <c r="G20" i="19"/>
  <c r="G16" i="19"/>
  <c r="G9" i="19"/>
  <c r="G19" i="19"/>
  <c r="G15" i="19"/>
  <c r="G12" i="19"/>
  <c r="G14" i="19"/>
  <c r="G7" i="19"/>
  <c r="G6" i="19"/>
  <c r="G8" i="19"/>
  <c r="G18" i="19"/>
  <c r="G11" i="19"/>
  <c r="G13" i="19"/>
  <c r="G5" i="19"/>
  <c r="E35" i="19"/>
  <c r="D35" i="19"/>
  <c r="C35" i="19"/>
  <c r="E52" i="19"/>
  <c r="D52" i="19"/>
  <c r="C52" i="19"/>
  <c r="G21" i="19" l="1"/>
  <c r="F52" i="19"/>
  <c r="G51" i="19" s="1"/>
  <c r="F35" i="19"/>
  <c r="G30" i="19" s="1"/>
  <c r="G31" i="19" l="1"/>
  <c r="G46" i="19"/>
  <c r="G50" i="19"/>
  <c r="G45" i="19"/>
  <c r="G43" i="19"/>
  <c r="G42" i="19"/>
  <c r="G29" i="19"/>
  <c r="G47" i="19"/>
  <c r="G49" i="19"/>
  <c r="G34" i="19"/>
  <c r="G33" i="19"/>
  <c r="G48" i="19"/>
  <c r="G41" i="19"/>
  <c r="G44" i="19"/>
  <c r="G32" i="19"/>
  <c r="F25" i="23"/>
  <c r="F20" i="23"/>
  <c r="F9" i="23"/>
  <c r="F11" i="22"/>
  <c r="G11" i="22"/>
  <c r="F10" i="21"/>
  <c r="G10" i="21"/>
  <c r="F10" i="20"/>
  <c r="F10" i="14"/>
  <c r="F13" i="25"/>
  <c r="F14" i="25" s="1"/>
  <c r="F16" i="25" s="1"/>
  <c r="F18" i="25" s="1"/>
  <c r="F10" i="25"/>
  <c r="E33" i="24"/>
  <c r="E24" i="24"/>
  <c r="E30" i="24" s="1"/>
  <c r="E11" i="24"/>
  <c r="E6" i="24"/>
  <c r="E16" i="24" s="1"/>
  <c r="F33" i="24"/>
  <c r="F24" i="24"/>
  <c r="F6" i="24"/>
  <c r="G10" i="20" l="1"/>
  <c r="G10" i="14"/>
  <c r="G10" i="13"/>
  <c r="N10" i="13"/>
  <c r="G10" i="25"/>
  <c r="G13" i="25"/>
  <c r="G14" i="25" s="1"/>
  <c r="G16" i="25" s="1"/>
  <c r="G18" i="25" s="1"/>
  <c r="F11" i="24"/>
  <c r="F26" i="23"/>
  <c r="E34" i="24"/>
  <c r="F30" i="24" l="1"/>
  <c r="F34" i="24" s="1"/>
  <c r="F16" i="24"/>
  <c r="F26" i="25" l="1"/>
  <c r="E26" i="25"/>
  <c r="D26" i="25"/>
  <c r="C26" i="25"/>
  <c r="F25" i="25"/>
  <c r="E25" i="25"/>
  <c r="D25" i="25"/>
  <c r="C25" i="25"/>
  <c r="F24" i="25"/>
  <c r="E24" i="25"/>
  <c r="D24" i="25"/>
  <c r="C24" i="25"/>
  <c r="E22" i="23" l="1"/>
  <c r="C25" i="23" l="1"/>
  <c r="D26" i="23"/>
  <c r="C26" i="23"/>
  <c r="E26" i="23"/>
  <c r="C20" i="23"/>
  <c r="D20" i="23"/>
  <c r="E20" i="23"/>
  <c r="D25" i="23" l="1"/>
  <c r="E25" i="23"/>
  <c r="D33" i="24" l="1"/>
  <c r="C33" i="24"/>
  <c r="D24" i="24"/>
  <c r="D30" i="24" s="1"/>
  <c r="C24" i="24"/>
  <c r="C30" i="24" s="1"/>
  <c r="C34" i="24" s="1"/>
  <c r="D11" i="24"/>
  <c r="C11" i="24"/>
  <c r="D6" i="24"/>
  <c r="C6" i="24"/>
  <c r="C16" i="24" s="1"/>
  <c r="E13" i="25"/>
  <c r="D13" i="25"/>
  <c r="C13" i="25"/>
  <c r="C14" i="25" s="1"/>
  <c r="C16" i="25" s="1"/>
  <c r="C18" i="25" s="1"/>
  <c r="E10" i="25"/>
  <c r="D10" i="25"/>
  <c r="C10" i="25"/>
  <c r="D14" i="25" l="1"/>
  <c r="D16" i="25" s="1"/>
  <c r="D18" i="25" s="1"/>
  <c r="D16" i="24"/>
  <c r="D34" i="24"/>
  <c r="E14" i="25"/>
  <c r="E16" i="25" s="1"/>
  <c r="E18" i="25" s="1"/>
  <c r="D38" i="24" l="1"/>
  <c r="C38" i="24"/>
  <c r="E38" i="24"/>
  <c r="F38" i="24" l="1"/>
  <c r="F19" i="22"/>
  <c r="F18" i="22"/>
  <c r="F17" i="22"/>
  <c r="F18" i="21"/>
  <c r="F17" i="21"/>
  <c r="F16" i="21"/>
  <c r="F18" i="20"/>
  <c r="F17" i="20"/>
  <c r="F16" i="20"/>
  <c r="V10" i="13"/>
  <c r="M10" i="13"/>
  <c r="L10" i="13"/>
  <c r="J10" i="13"/>
  <c r="F10" i="13"/>
  <c r="E10" i="13"/>
  <c r="D10" i="13"/>
  <c r="C10" i="13"/>
  <c r="V9" i="13"/>
  <c r="O9" i="13"/>
  <c r="H9" i="13"/>
  <c r="V8" i="13"/>
  <c r="O8" i="13"/>
  <c r="H8" i="13"/>
  <c r="V7" i="13"/>
  <c r="O7" i="13"/>
  <c r="H7" i="13"/>
  <c r="V6" i="13"/>
  <c r="O6" i="13"/>
  <c r="K6" i="13"/>
  <c r="K10" i="13" s="1"/>
  <c r="F18" i="14"/>
  <c r="F17" i="14"/>
  <c r="F16" i="14"/>
  <c r="H10" i="13" l="1"/>
  <c r="G17" i="22"/>
  <c r="G18" i="20"/>
  <c r="G18" i="21"/>
  <c r="G19" i="22"/>
  <c r="G17" i="21"/>
  <c r="G17" i="20"/>
  <c r="G18" i="22"/>
  <c r="G17" i="14"/>
  <c r="G18" i="14"/>
  <c r="G16" i="21"/>
  <c r="G16" i="20"/>
  <c r="H6" i="13"/>
  <c r="O10" i="13"/>
  <c r="G16" i="14"/>
  <c r="G25" i="25" l="1"/>
  <c r="G24" i="25" l="1"/>
  <c r="G26" i="25"/>
  <c r="G52" i="19" l="1"/>
  <c r="G35" i="19"/>
  <c r="E19" i="22" l="1"/>
  <c r="D19" i="22"/>
  <c r="C19" i="22"/>
  <c r="H18" i="22"/>
  <c r="E18" i="22"/>
  <c r="D18" i="22"/>
  <c r="C18" i="22"/>
  <c r="E17" i="22"/>
  <c r="D17" i="22"/>
  <c r="C17" i="22"/>
  <c r="E11" i="22"/>
  <c r="D11" i="22"/>
  <c r="C11" i="22"/>
  <c r="H9" i="22"/>
  <c r="H8" i="22"/>
  <c r="H7" i="22"/>
  <c r="H6" i="22"/>
  <c r="H5" i="22"/>
  <c r="E18" i="21"/>
  <c r="D18" i="21"/>
  <c r="C18" i="21"/>
  <c r="H17" i="21"/>
  <c r="E17" i="21"/>
  <c r="D17" i="21"/>
  <c r="C17" i="21"/>
  <c r="H16" i="21"/>
  <c r="E16" i="21"/>
  <c r="D16" i="21"/>
  <c r="C16" i="21"/>
  <c r="E10" i="21"/>
  <c r="D10" i="21"/>
  <c r="C10" i="21"/>
  <c r="H9" i="21"/>
  <c r="H8" i="21"/>
  <c r="H7" i="21"/>
  <c r="H6" i="21"/>
  <c r="H5" i="21"/>
  <c r="E18" i="20"/>
  <c r="D18" i="20"/>
  <c r="C18" i="20"/>
  <c r="E17" i="20"/>
  <c r="D17" i="20"/>
  <c r="C17" i="20"/>
  <c r="H16" i="20"/>
  <c r="E16" i="20"/>
  <c r="D16" i="20"/>
  <c r="C16" i="20"/>
  <c r="E10" i="20"/>
  <c r="D10" i="20"/>
  <c r="C10" i="20"/>
  <c r="H9" i="20"/>
  <c r="H8" i="20"/>
  <c r="H7" i="20"/>
  <c r="H6" i="20"/>
  <c r="H5" i="20"/>
  <c r="H18" i="14"/>
  <c r="E18" i="14"/>
  <c r="D18" i="14"/>
  <c r="C18" i="14"/>
  <c r="E17" i="14"/>
  <c r="D17" i="14"/>
  <c r="C17" i="14"/>
  <c r="E16" i="14"/>
  <c r="D16" i="14"/>
  <c r="C16" i="14"/>
  <c r="H10" i="14"/>
  <c r="E10" i="14"/>
  <c r="D10" i="14"/>
  <c r="C10" i="14"/>
  <c r="H9" i="14"/>
  <c r="H8" i="14"/>
  <c r="H7" i="14"/>
  <c r="H6" i="14"/>
  <c r="H5" i="14"/>
  <c r="H17" i="14" l="1"/>
  <c r="H17" i="22"/>
  <c r="H19" i="22"/>
  <c r="H11" i="22"/>
  <c r="H18" i="21"/>
  <c r="H10" i="21"/>
  <c r="H10" i="20"/>
  <c r="H17" i="20"/>
  <c r="H16" i="14"/>
  <c r="H18" i="20"/>
</calcChain>
</file>

<file path=xl/sharedStrings.xml><?xml version="1.0" encoding="utf-8"?>
<sst xmlns="http://schemas.openxmlformats.org/spreadsheetml/2006/main" count="293" uniqueCount="123">
  <si>
    <t>TECHNICAL RESULT</t>
  </si>
  <si>
    <t>COMBINED RATIO</t>
  </si>
  <si>
    <t>% var.</t>
  </si>
  <si>
    <t>Motor</t>
  </si>
  <si>
    <t>Home</t>
  </si>
  <si>
    <t>Health</t>
  </si>
  <si>
    <t>Other</t>
  </si>
  <si>
    <t>TOTAL</t>
  </si>
  <si>
    <t>MOTOR</t>
  </si>
  <si>
    <t>Claims for the year, net of reinsurance</t>
  </si>
  <si>
    <t>Net operating expenses</t>
  </si>
  <si>
    <t>Other technical income and expenses</t>
  </si>
  <si>
    <t>var. p.p.</t>
  </si>
  <si>
    <t>Loss ratio</t>
  </si>
  <si>
    <t>Expense ratio</t>
  </si>
  <si>
    <t>HOME</t>
  </si>
  <si>
    <t>HEALTH</t>
  </si>
  <si>
    <t>12M 2019</t>
  </si>
  <si>
    <t>12M 2020</t>
  </si>
  <si>
    <t>INVESTMENT PORTFOLIO</t>
  </si>
  <si>
    <t>CASH &amp; CASH EQUIVALENTS</t>
  </si>
  <si>
    <t>FIXED INCOME</t>
  </si>
  <si>
    <t>Spain</t>
  </si>
  <si>
    <t>Italy</t>
  </si>
  <si>
    <t>Portugal</t>
  </si>
  <si>
    <t>Norway</t>
  </si>
  <si>
    <t>United States</t>
  </si>
  <si>
    <t>Rest of Europe</t>
  </si>
  <si>
    <t>Rest of World</t>
  </si>
  <si>
    <t>SHARES</t>
  </si>
  <si>
    <t>MUTUAL FUNDS</t>
  </si>
  <si>
    <t>ASSETS</t>
  </si>
  <si>
    <t>CASH AND CASH EQUIVALENTS</t>
  </si>
  <si>
    <t>Equity investments</t>
  </si>
  <si>
    <t>LOANS AND RECEIVABLES</t>
  </si>
  <si>
    <t>INTANGIBLE ASSETS</t>
  </si>
  <si>
    <t>OTHER ASSETS</t>
  </si>
  <si>
    <t>HEDGING DERIVATIVES</t>
  </si>
  <si>
    <t>LIABILITIES AND EQUITY</t>
  </si>
  <si>
    <t>TOTAL LIABILITIES</t>
  </si>
  <si>
    <t>TOTAL EQUITY</t>
  </si>
  <si>
    <t>TOTAL LIABILITIES AND EQUITY</t>
  </si>
  <si>
    <t>TECHNICAL PROVISIONS</t>
  </si>
  <si>
    <t>NON-TECHNICAL PROVISIONS</t>
  </si>
  <si>
    <t>OTHER LIABILITIES</t>
  </si>
  <si>
    <t>12M 2018</t>
  </si>
  <si>
    <t>6M 2021</t>
  </si>
  <si>
    <t>DEBT AND ACCOUNTS PAYABLE</t>
  </si>
  <si>
    <t>AVAILABLE-FOR-SALE FINANCIAL ASSETS</t>
  </si>
  <si>
    <t>Debt securities</t>
  </si>
  <si>
    <t>REINSURERS' SHARE OF TECHNICAL PROVISIONS</t>
  </si>
  <si>
    <t>Provision for unearned premiums</t>
  </si>
  <si>
    <t>Provision for claims</t>
  </si>
  <si>
    <t>Property, plant and equipment</t>
  </si>
  <si>
    <t>Investment property</t>
  </si>
  <si>
    <t>PROPERTY, PLANT AND EQUIPMENT AND INVESTMENT PROPERTY</t>
  </si>
  <si>
    <t>Provision for unexpired risks</t>
  </si>
  <si>
    <t>6M 2020</t>
  </si>
  <si>
    <t>PROFIT/(LOSS) BEFORE TAX</t>
  </si>
  <si>
    <t>Income tax</t>
  </si>
  <si>
    <t>PROFIT/(LOSS) FOR THE YEAR</t>
  </si>
  <si>
    <t>Profit sharing and premium refunds</t>
  </si>
  <si>
    <t>of which SOCIMIs</t>
  </si>
  <si>
    <t>Million euro</t>
  </si>
  <si>
    <t>GROSS WRITTEN PREIMIUMS</t>
  </si>
  <si>
    <t>Million euro, ratios in %</t>
  </si>
  <si>
    <t>-</t>
  </si>
  <si>
    <t>BALANCE SHEET</t>
  </si>
  <si>
    <r>
      <rPr>
        <b/>
        <sz val="10"/>
        <color theme="1" tint="0.34998626667073579"/>
        <rFont val="Futura Std Light"/>
        <family val="2"/>
      </rPr>
      <t>TOTAL</t>
    </r>
    <r>
      <rPr>
        <b/>
        <sz val="10"/>
        <color rgb="FFC00000"/>
        <rFont val="Futura Std Light"/>
        <family val="2"/>
      </rPr>
      <t xml:space="preserve"> ASSETS</t>
    </r>
  </si>
  <si>
    <t>GROSS WRITTEN PREMIUMS</t>
  </si>
  <si>
    <t>PREMIUMS EARNED, NET OF REINSURANCE</t>
  </si>
  <si>
    <t>Corporate</t>
  </si>
  <si>
    <t>Government</t>
  </si>
  <si>
    <t>AAA</t>
  </si>
  <si>
    <t>AA</t>
  </si>
  <si>
    <t>A</t>
  </si>
  <si>
    <t>BBB</t>
  </si>
  <si>
    <t>Industrial</t>
  </si>
  <si>
    <t>Below BBB</t>
  </si>
  <si>
    <t>Not rated</t>
  </si>
  <si>
    <t>Real estate (*)</t>
  </si>
  <si>
    <t>Financial</t>
  </si>
  <si>
    <t>Consumer - Non-cyclical</t>
  </si>
  <si>
    <t>Telecommunications</t>
  </si>
  <si>
    <t>Energy</t>
  </si>
  <si>
    <t>Utilities</t>
  </si>
  <si>
    <t>Technology</t>
  </si>
  <si>
    <t>Consumer - Cyclical</t>
  </si>
  <si>
    <t>Basic materials</t>
  </si>
  <si>
    <t>Income from investments</t>
  </si>
  <si>
    <t>Expenses from investments</t>
  </si>
  <si>
    <t>FINANCIAL RESULT</t>
  </si>
  <si>
    <t>TECHNICAL - FINANCIAL RESULT</t>
  </si>
  <si>
    <t>Profit (loss) from other activities</t>
  </si>
  <si>
    <t>Equity</t>
  </si>
  <si>
    <t>Valuation adjustments</t>
  </si>
  <si>
    <t>SOLVENCY</t>
  </si>
  <si>
    <t>Market Risk</t>
  </si>
  <si>
    <t>Diversification</t>
  </si>
  <si>
    <t>Adjustment for the loss-absorbing capacity of taxes</t>
  </si>
  <si>
    <t>Total eligible own funds</t>
  </si>
  <si>
    <t>of which Tier I unrestricted</t>
  </si>
  <si>
    <t>Thousand euro</t>
  </si>
  <si>
    <t>Counterparty Risk</t>
  </si>
  <si>
    <t>Health Risk</t>
  </si>
  <si>
    <t>Operational Risk</t>
  </si>
  <si>
    <t>Non-life Undrewriting Risk</t>
  </si>
  <si>
    <t>Basic Solvency Capital Requirement (BSCR)</t>
  </si>
  <si>
    <t>Solvency Capital Required (SCR)</t>
  </si>
  <si>
    <t>Minimum Capital Required (MCR)</t>
  </si>
  <si>
    <t>Coverage Ratio (MCR)</t>
  </si>
  <si>
    <t>Solvency II Ratio (SCR)</t>
  </si>
  <si>
    <t>OTHER INSURANCE BUSINESSES</t>
  </si>
  <si>
    <t>INVESTMENT PROPERTY</t>
  </si>
  <si>
    <t>INDEX</t>
  </si>
  <si>
    <t>Balance sheet</t>
  </si>
  <si>
    <t>P&amp;L</t>
  </si>
  <si>
    <t>Business lines</t>
  </si>
  <si>
    <t>Investments</t>
  </si>
  <si>
    <t>Solvency</t>
  </si>
  <si>
    <t>PROFIT AND LOSS ACCOUNT</t>
  </si>
  <si>
    <t>BUSINESS LINES</t>
  </si>
  <si>
    <t>SUB-TOTAL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</si>
</sst>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#,##0.0;\(#,##0.0\)"/>
    <numFmt numFmtId="168" formatCode="0.0\ \p\.\p"/>
    <numFmt numFmtId="169" formatCode="#,##0.0%;\-#,##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0"/>
      <color rgb="FF595959"/>
      <name val="Calibri"/>
      <family val="2"/>
      <charset val="1"/>
    </font>
    <font>
      <b/>
      <sz val="10"/>
      <color rgb="FFC00000"/>
      <name val="Calibri"/>
      <family val="2"/>
      <charset val="1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Futura Std Light"/>
      <family val="2"/>
    </font>
    <font>
      <sz val="11"/>
      <color theme="1"/>
      <name val="Futura Std Light"/>
      <family val="2"/>
    </font>
    <font>
      <b/>
      <sz val="10"/>
      <color rgb="FFC00000"/>
      <name val="Futura Std Light"/>
      <family val="2"/>
    </font>
    <font>
      <b/>
      <sz val="10"/>
      <color rgb="FFC9211E"/>
      <name val="Futura Std Light"/>
      <family val="2"/>
    </font>
    <font>
      <b/>
      <sz val="10"/>
      <color theme="1" tint="0.34998626667073579"/>
      <name val="Futura Std Light"/>
      <family val="2"/>
    </font>
    <font>
      <sz val="11"/>
      <color rgb="FF006100"/>
      <name val="Futura Std Light"/>
      <family val="2"/>
    </font>
    <font>
      <sz val="10"/>
      <color theme="1" tint="0.34998626667073579"/>
      <name val="Futura Std Light"/>
      <family val="2"/>
    </font>
    <font>
      <sz val="10"/>
      <color theme="1"/>
      <name val="Futura Std Light"/>
      <family val="2"/>
    </font>
    <font>
      <i/>
      <sz val="10"/>
      <color theme="1" tint="0.34998626667073579"/>
      <name val="Futura Std Light"/>
      <family val="2"/>
    </font>
    <font>
      <b/>
      <i/>
      <sz val="10"/>
      <color theme="1" tint="0.34998626667073579"/>
      <name val="Futura Std Light"/>
      <family val="2"/>
    </font>
    <font>
      <sz val="10"/>
      <color rgb="FF595959"/>
      <name val="Futura Std Light"/>
      <family val="2"/>
    </font>
    <font>
      <sz val="10"/>
      <name val="Futura Std Light"/>
      <family val="2"/>
    </font>
    <font>
      <i/>
      <sz val="10"/>
      <name val="Futura Std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59">
    <xf numFmtId="0" fontId="0" fillId="0" borderId="0" xfId="0"/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165" fontId="0" fillId="3" borderId="0" xfId="1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 readingOrder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readingOrder="1"/>
    </xf>
    <xf numFmtId="165" fontId="0" fillId="0" borderId="0" xfId="1" applyNumberFormat="1" applyFont="1" applyAlignment="1">
      <alignment vertical="center"/>
    </xf>
    <xf numFmtId="164" fontId="0" fillId="0" borderId="0" xfId="2" applyNumberFormat="1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 applyAlignment="1">
      <alignment vertical="center"/>
    </xf>
    <xf numFmtId="0" fontId="10" fillId="3" borderId="0" xfId="0" applyFont="1" applyFill="1" applyBorder="1" applyAlignment="1">
      <alignment horizontal="left" vertical="center" readingOrder="1"/>
    </xf>
    <xf numFmtId="0" fontId="9" fillId="4" borderId="0" xfId="0" applyFont="1" applyFill="1" applyBorder="1" applyAlignment="1">
      <alignment horizontal="left" vertical="center" readingOrder="1"/>
    </xf>
    <xf numFmtId="165" fontId="8" fillId="3" borderId="0" xfId="1" applyNumberFormat="1" applyFont="1" applyFill="1" applyBorder="1" applyAlignment="1">
      <alignment vertical="center"/>
    </xf>
    <xf numFmtId="0" fontId="12" fillId="2" borderId="0" xfId="3" applyFont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166" fontId="11" fillId="0" borderId="0" xfId="1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166" fontId="13" fillId="0" borderId="0" xfId="1" applyNumberFormat="1" applyFont="1" applyFill="1" applyBorder="1" applyAlignment="1">
      <alignment horizontal="right" vertical="center"/>
    </xf>
    <xf numFmtId="166" fontId="11" fillId="0" borderId="0" xfId="1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vertical="center"/>
    </xf>
    <xf numFmtId="14" fontId="11" fillId="0" borderId="1" xfId="1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left" vertical="center"/>
    </xf>
    <xf numFmtId="166" fontId="11" fillId="0" borderId="2" xfId="1" applyNumberFormat="1" applyFont="1" applyFill="1" applyBorder="1" applyAlignment="1">
      <alignment vertical="center"/>
    </xf>
    <xf numFmtId="166" fontId="11" fillId="0" borderId="2" xfId="1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vertical="center" readingOrder="1"/>
    </xf>
    <xf numFmtId="0" fontId="10" fillId="0" borderId="3" xfId="0" applyFont="1" applyFill="1" applyBorder="1" applyAlignment="1">
      <alignment vertical="center" readingOrder="1"/>
    </xf>
    <xf numFmtId="166" fontId="13" fillId="0" borderId="5" xfId="1" applyNumberFormat="1" applyFont="1" applyFill="1" applyBorder="1" applyAlignment="1">
      <alignment horizontal="right" vertical="center"/>
    </xf>
    <xf numFmtId="166" fontId="11" fillId="0" borderId="5" xfId="1" applyNumberFormat="1" applyFont="1" applyFill="1" applyBorder="1" applyAlignment="1">
      <alignment horizontal="right" vertical="center"/>
    </xf>
    <xf numFmtId="166" fontId="11" fillId="0" borderId="6" xfId="1" applyNumberFormat="1" applyFont="1" applyFill="1" applyBorder="1" applyAlignment="1">
      <alignment vertical="center"/>
    </xf>
    <xf numFmtId="14" fontId="11" fillId="0" borderId="4" xfId="1" applyNumberFormat="1" applyFont="1" applyFill="1" applyBorder="1" applyAlignment="1">
      <alignment horizontal="right" vertical="center"/>
    </xf>
    <xf numFmtId="166" fontId="11" fillId="0" borderId="6" xfId="1" applyNumberFormat="1" applyFont="1" applyFill="1" applyBorder="1" applyAlignment="1">
      <alignment horizontal="right" vertical="center"/>
    </xf>
    <xf numFmtId="14" fontId="9" fillId="5" borderId="7" xfId="1" applyNumberFormat="1" applyFont="1" applyFill="1" applyBorder="1" applyAlignment="1">
      <alignment horizontal="right" vertical="center"/>
    </xf>
    <xf numFmtId="166" fontId="11" fillId="5" borderId="8" xfId="1" applyNumberFormat="1" applyFont="1" applyFill="1" applyBorder="1" applyAlignment="1">
      <alignment horizontal="right" vertical="center"/>
    </xf>
    <xf numFmtId="166" fontId="13" fillId="5" borderId="8" xfId="1" applyNumberFormat="1" applyFont="1" applyFill="1" applyBorder="1" applyAlignment="1">
      <alignment horizontal="right" vertical="center"/>
    </xf>
    <xf numFmtId="166" fontId="11" fillId="5" borderId="9" xfId="1" applyNumberFormat="1" applyFont="1" applyFill="1" applyBorder="1" applyAlignment="1">
      <alignment vertical="center"/>
    </xf>
    <xf numFmtId="166" fontId="11" fillId="5" borderId="9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readingOrder="1"/>
    </xf>
    <xf numFmtId="0" fontId="11" fillId="0" borderId="0" xfId="0" applyFont="1" applyFill="1" applyBorder="1" applyAlignment="1">
      <alignment vertical="center" readingOrder="1"/>
    </xf>
    <xf numFmtId="0" fontId="13" fillId="0" borderId="0" xfId="0" applyFont="1" applyFill="1" applyBorder="1" applyAlignment="1">
      <alignment vertical="center"/>
    </xf>
    <xf numFmtId="166" fontId="13" fillId="0" borderId="0" xfId="1" applyNumberFormat="1" applyFont="1" applyFill="1" applyBorder="1" applyAlignment="1">
      <alignment vertical="center"/>
    </xf>
    <xf numFmtId="166" fontId="11" fillId="5" borderId="8" xfId="1" applyNumberFormat="1" applyFont="1" applyFill="1" applyBorder="1" applyAlignment="1">
      <alignment vertical="center"/>
    </xf>
    <xf numFmtId="166" fontId="13" fillId="5" borderId="8" xfId="1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 readingOrder="1"/>
    </xf>
    <xf numFmtId="0" fontId="8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165" fontId="13" fillId="0" borderId="0" xfId="1" applyNumberFormat="1" applyFont="1" applyFill="1" applyBorder="1" applyAlignment="1">
      <alignment vertical="center"/>
    </xf>
    <xf numFmtId="164" fontId="13" fillId="0" borderId="0" xfId="2" applyNumberFormat="1" applyFont="1" applyFill="1" applyBorder="1" applyAlignment="1">
      <alignment vertical="center"/>
    </xf>
    <xf numFmtId="167" fontId="11" fillId="0" borderId="2" xfId="1" applyNumberFormat="1" applyFont="1" applyFill="1" applyBorder="1" applyAlignment="1">
      <alignment horizontal="center" vertical="center"/>
    </xf>
    <xf numFmtId="167" fontId="13" fillId="5" borderId="10" xfId="1" applyNumberFormat="1" applyFont="1" applyFill="1" applyBorder="1" applyAlignment="1">
      <alignment horizontal="center" vertical="center"/>
    </xf>
    <xf numFmtId="167" fontId="11" fillId="5" borderId="11" xfId="1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vertical="center"/>
    </xf>
    <xf numFmtId="0" fontId="11" fillId="0" borderId="0" xfId="0" applyFont="1" applyAlignment="1">
      <alignment horizontal="left" vertical="center" readingOrder="1"/>
    </xf>
    <xf numFmtId="164" fontId="16" fillId="0" borderId="0" xfId="2" applyNumberFormat="1" applyFont="1" applyFill="1" applyBorder="1" applyAlignment="1">
      <alignment horizontal="right" vertical="center"/>
    </xf>
    <xf numFmtId="164" fontId="15" fillId="0" borderId="0" xfId="2" applyNumberFormat="1" applyFont="1" applyFill="1" applyBorder="1" applyAlignment="1">
      <alignment horizontal="right" vertical="center"/>
    </xf>
    <xf numFmtId="168" fontId="15" fillId="0" borderId="0" xfId="0" applyNumberFormat="1" applyFont="1" applyFill="1" applyBorder="1" applyAlignment="1">
      <alignment horizontal="right" vertical="center"/>
    </xf>
    <xf numFmtId="0" fontId="11" fillId="0" borderId="1" xfId="1" applyNumberFormat="1" applyFont="1" applyFill="1" applyBorder="1" applyAlignment="1">
      <alignment horizontal="center" vertical="center"/>
    </xf>
    <xf numFmtId="165" fontId="16" fillId="0" borderId="1" xfId="1" applyNumberFormat="1" applyFont="1" applyFill="1" applyBorder="1" applyAlignment="1">
      <alignment horizontal="right" vertical="center" wrapText="1"/>
    </xf>
    <xf numFmtId="165" fontId="16" fillId="0" borderId="1" xfId="1" applyNumberFormat="1" applyFont="1" applyFill="1" applyBorder="1" applyAlignment="1">
      <alignment horizontal="right" vertical="center"/>
    </xf>
    <xf numFmtId="164" fontId="16" fillId="0" borderId="2" xfId="2" applyNumberFormat="1" applyFont="1" applyFill="1" applyBorder="1" applyAlignment="1">
      <alignment horizontal="right" vertical="center"/>
    </xf>
    <xf numFmtId="168" fontId="15" fillId="0" borderId="2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9" fillId="5" borderId="7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167" fontId="13" fillId="0" borderId="0" xfId="1" applyNumberFormat="1" applyFont="1" applyFill="1" applyBorder="1" applyAlignment="1">
      <alignment horizontal="right" vertical="center"/>
    </xf>
    <xf numFmtId="167" fontId="13" fillId="5" borderId="8" xfId="1" applyNumberFormat="1" applyFont="1" applyFill="1" applyBorder="1" applyAlignment="1">
      <alignment horizontal="right" vertical="center"/>
    </xf>
    <xf numFmtId="169" fontId="13" fillId="0" borderId="0" xfId="2" applyNumberFormat="1" applyFont="1" applyFill="1" applyBorder="1" applyAlignment="1">
      <alignment horizontal="right" vertical="center"/>
    </xf>
    <xf numFmtId="169" fontId="13" fillId="5" borderId="8" xfId="2" applyNumberFormat="1" applyFont="1" applyFill="1" applyBorder="1" applyAlignment="1">
      <alignment horizontal="right" vertical="center"/>
    </xf>
    <xf numFmtId="167" fontId="11" fillId="0" borderId="2" xfId="1" applyNumberFormat="1" applyFont="1" applyFill="1" applyBorder="1" applyAlignment="1">
      <alignment horizontal="right" vertical="center"/>
    </xf>
    <xf numFmtId="167" fontId="11" fillId="5" borderId="9" xfId="1" applyNumberFormat="1" applyFont="1" applyFill="1" applyBorder="1" applyAlignment="1">
      <alignment horizontal="right" vertical="center"/>
    </xf>
    <xf numFmtId="169" fontId="11" fillId="0" borderId="2" xfId="2" applyNumberFormat="1" applyFont="1" applyFill="1" applyBorder="1" applyAlignment="1">
      <alignment horizontal="right" vertical="center"/>
    </xf>
    <xf numFmtId="169" fontId="11" fillId="5" borderId="9" xfId="2" applyNumberFormat="1" applyFont="1" applyFill="1" applyBorder="1" applyAlignment="1">
      <alignment horizontal="right" vertical="center"/>
    </xf>
    <xf numFmtId="0" fontId="11" fillId="0" borderId="1" xfId="1" applyNumberFormat="1" applyFont="1" applyFill="1" applyBorder="1" applyAlignment="1">
      <alignment horizontal="right" vertical="center"/>
    </xf>
    <xf numFmtId="0" fontId="11" fillId="0" borderId="4" xfId="1" applyNumberFormat="1" applyFont="1" applyFill="1" applyBorder="1" applyAlignment="1">
      <alignment horizontal="right" vertical="center"/>
    </xf>
    <xf numFmtId="0" fontId="9" fillId="5" borderId="7" xfId="1" applyNumberFormat="1" applyFont="1" applyFill="1" applyBorder="1" applyAlignment="1">
      <alignment horizontal="right" vertical="center"/>
    </xf>
    <xf numFmtId="167" fontId="11" fillId="0" borderId="0" xfId="1" applyNumberFormat="1" applyFont="1" applyFill="1" applyBorder="1" applyAlignment="1">
      <alignment horizontal="right" vertical="center"/>
    </xf>
    <xf numFmtId="167" fontId="11" fillId="0" borderId="5" xfId="1" applyNumberFormat="1" applyFont="1" applyFill="1" applyBorder="1" applyAlignment="1">
      <alignment horizontal="right" vertical="center"/>
    </xf>
    <xf numFmtId="167" fontId="11" fillId="5" borderId="8" xfId="1" applyNumberFormat="1" applyFont="1" applyFill="1" applyBorder="1" applyAlignment="1">
      <alignment horizontal="right" vertical="center"/>
    </xf>
    <xf numFmtId="167" fontId="13" fillId="0" borderId="5" xfId="1" applyNumberFormat="1" applyFont="1" applyFill="1" applyBorder="1" applyAlignment="1">
      <alignment horizontal="right" vertical="center"/>
    </xf>
    <xf numFmtId="167" fontId="11" fillId="0" borderId="6" xfId="1" applyNumberFormat="1" applyFont="1" applyFill="1" applyBorder="1" applyAlignment="1">
      <alignment horizontal="right" vertical="center"/>
    </xf>
    <xf numFmtId="165" fontId="13" fillId="0" borderId="0" xfId="1" applyNumberFormat="1" applyFont="1" applyFill="1" applyBorder="1" applyAlignment="1">
      <alignment horizontal="right" vertical="center"/>
    </xf>
    <xf numFmtId="164" fontId="13" fillId="0" borderId="0" xfId="2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164" fontId="13" fillId="0" borderId="5" xfId="2" applyNumberFormat="1" applyFont="1" applyFill="1" applyBorder="1" applyAlignment="1">
      <alignment horizontal="right" vertical="center"/>
    </xf>
    <xf numFmtId="164" fontId="13" fillId="5" borderId="8" xfId="2" applyNumberFormat="1" applyFont="1" applyFill="1" applyBorder="1" applyAlignment="1">
      <alignment horizontal="right" vertical="center"/>
    </xf>
    <xf numFmtId="164" fontId="11" fillId="0" borderId="2" xfId="2" applyNumberFormat="1" applyFont="1" applyFill="1" applyBorder="1" applyAlignment="1">
      <alignment horizontal="right" vertical="center"/>
    </xf>
    <xf numFmtId="164" fontId="11" fillId="0" borderId="6" xfId="2" applyNumberFormat="1" applyFont="1" applyFill="1" applyBorder="1" applyAlignment="1">
      <alignment horizontal="right" vertical="center"/>
    </xf>
    <xf numFmtId="164" fontId="11" fillId="5" borderId="9" xfId="2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readingOrder="1"/>
    </xf>
    <xf numFmtId="167" fontId="11" fillId="5" borderId="10" xfId="1" applyNumberFormat="1" applyFont="1" applyFill="1" applyBorder="1" applyAlignment="1">
      <alignment horizontal="center" vertical="center"/>
    </xf>
    <xf numFmtId="164" fontId="11" fillId="5" borderId="5" xfId="2" applyNumberFormat="1" applyFont="1" applyFill="1" applyBorder="1" applyAlignment="1">
      <alignment horizontal="center" vertical="center"/>
    </xf>
    <xf numFmtId="164" fontId="13" fillId="5" borderId="5" xfId="2" applyNumberFormat="1" applyFont="1" applyFill="1" applyBorder="1" applyAlignment="1">
      <alignment horizontal="center" vertical="center"/>
    </xf>
    <xf numFmtId="164" fontId="11" fillId="5" borderId="6" xfId="2" applyNumberFormat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left" vertical="center" indent="1"/>
    </xf>
    <xf numFmtId="0" fontId="8" fillId="0" borderId="0" xfId="0" applyFont="1"/>
    <xf numFmtId="0" fontId="8" fillId="5" borderId="0" xfId="0" applyFont="1" applyFill="1" applyBorder="1" applyAlignment="1">
      <alignment vertical="center"/>
    </xf>
    <xf numFmtId="0" fontId="11" fillId="0" borderId="1" xfId="1" applyNumberFormat="1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 indent="2"/>
    </xf>
    <xf numFmtId="0" fontId="13" fillId="0" borderId="0" xfId="0" applyFont="1" applyFill="1" applyBorder="1" applyAlignment="1">
      <alignment horizontal="left" vertical="center" indent="1" readingOrder="1"/>
    </xf>
    <xf numFmtId="0" fontId="14" fillId="0" borderId="0" xfId="0" applyFont="1"/>
    <xf numFmtId="0" fontId="13" fillId="0" borderId="0" xfId="0" applyFont="1"/>
    <xf numFmtId="3" fontId="13" fillId="0" borderId="0" xfId="0" applyNumberFormat="1" applyFont="1"/>
    <xf numFmtId="166" fontId="13" fillId="0" borderId="0" xfId="0" applyNumberFormat="1" applyFont="1"/>
    <xf numFmtId="0" fontId="11" fillId="0" borderId="0" xfId="0" applyFont="1"/>
    <xf numFmtId="3" fontId="11" fillId="0" borderId="0" xfId="0" applyNumberFormat="1" applyFont="1"/>
    <xf numFmtId="0" fontId="15" fillId="0" borderId="0" xfId="0" applyFont="1" applyAlignment="1">
      <alignment horizontal="right"/>
    </xf>
    <xf numFmtId="3" fontId="13" fillId="0" borderId="0" xfId="0" applyNumberFormat="1" applyFont="1" applyFill="1"/>
    <xf numFmtId="166" fontId="13" fillId="0" borderId="0" xfId="0" applyNumberFormat="1" applyFont="1" applyFill="1"/>
    <xf numFmtId="3" fontId="11" fillId="0" borderId="0" xfId="0" applyNumberFormat="1" applyFont="1" applyFill="1"/>
    <xf numFmtId="0" fontId="13" fillId="0" borderId="0" xfId="0" applyFont="1" applyFill="1"/>
    <xf numFmtId="0" fontId="15" fillId="0" borderId="0" xfId="0" applyFont="1" applyFill="1" applyAlignment="1">
      <alignment horizontal="right"/>
    </xf>
    <xf numFmtId="0" fontId="11" fillId="0" borderId="1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9" fontId="11" fillId="0" borderId="15" xfId="2" applyNumberFormat="1" applyFont="1" applyFill="1" applyBorder="1" applyAlignment="1">
      <alignment vertical="center"/>
    </xf>
    <xf numFmtId="9" fontId="11" fillId="0" borderId="1" xfId="2" applyNumberFormat="1" applyFont="1" applyFill="1" applyBorder="1" applyAlignment="1">
      <alignment vertical="center"/>
    </xf>
    <xf numFmtId="9" fontId="11" fillId="0" borderId="4" xfId="2" applyNumberFormat="1" applyFont="1" applyFill="1" applyBorder="1" applyAlignment="1">
      <alignment vertical="center"/>
    </xf>
    <xf numFmtId="9" fontId="11" fillId="0" borderId="16" xfId="2" applyNumberFormat="1" applyFont="1" applyFill="1" applyBorder="1" applyAlignment="1">
      <alignment vertical="center"/>
    </xf>
    <xf numFmtId="0" fontId="15" fillId="0" borderId="0" xfId="0" applyFont="1" applyAlignment="1">
      <alignment horizontal="left" indent="1"/>
    </xf>
    <xf numFmtId="9" fontId="15" fillId="0" borderId="0" xfId="2" applyFont="1"/>
    <xf numFmtId="9" fontId="15" fillId="0" borderId="0" xfId="2" applyFont="1" applyFill="1"/>
    <xf numFmtId="9" fontId="15" fillId="5" borderId="8" xfId="2" applyFont="1" applyFill="1" applyBorder="1" applyAlignment="1">
      <alignment vertical="center"/>
    </xf>
    <xf numFmtId="165" fontId="11" fillId="0" borderId="0" xfId="1" applyNumberFormat="1" applyFont="1" applyFill="1" applyBorder="1" applyAlignment="1">
      <alignment vertical="center"/>
    </xf>
    <xf numFmtId="0" fontId="18" fillId="5" borderId="0" xfId="0" applyFont="1" applyFill="1" applyBorder="1" applyAlignment="1">
      <alignment vertical="center"/>
    </xf>
    <xf numFmtId="0" fontId="18" fillId="5" borderId="0" xfId="4" applyFont="1" applyFill="1" applyBorder="1" applyAlignment="1">
      <alignment horizontal="left" vertical="center" indent="1"/>
    </xf>
    <xf numFmtId="0" fontId="19" fillId="5" borderId="0" xfId="4" applyFont="1" applyFill="1" applyBorder="1" applyAlignment="1">
      <alignment horizontal="left" vertical="center" indent="2"/>
    </xf>
    <xf numFmtId="0" fontId="9" fillId="7" borderId="0" xfId="4" applyFont="1" applyFill="1" applyBorder="1" applyAlignment="1">
      <alignment horizontal="center" vertical="center"/>
    </xf>
    <xf numFmtId="3" fontId="11" fillId="5" borderId="8" xfId="1" applyNumberFormat="1" applyFont="1" applyFill="1" applyBorder="1" applyAlignment="1">
      <alignment vertical="center"/>
    </xf>
    <xf numFmtId="9" fontId="11" fillId="5" borderId="17" xfId="2" applyFont="1" applyFill="1" applyBorder="1" applyAlignment="1">
      <alignment vertical="center"/>
    </xf>
    <xf numFmtId="9" fontId="11" fillId="5" borderId="7" xfId="2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167" fontId="11" fillId="0" borderId="0" xfId="1" applyNumberFormat="1" applyFont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3"/>
    </xf>
    <xf numFmtId="167" fontId="13" fillId="0" borderId="0" xfId="1" applyNumberFormat="1" applyFont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167" fontId="11" fillId="0" borderId="15" xfId="1" applyNumberFormat="1" applyFont="1" applyBorder="1" applyAlignment="1">
      <alignment horizontal="center" vertical="center"/>
    </xf>
    <xf numFmtId="167" fontId="11" fillId="0" borderId="16" xfId="1" applyNumberFormat="1" applyFont="1" applyBorder="1" applyAlignment="1">
      <alignment horizontal="center" vertical="center"/>
    </xf>
    <xf numFmtId="167" fontId="11" fillId="5" borderId="18" xfId="1" applyNumberFormat="1" applyFont="1" applyFill="1" applyBorder="1" applyAlignment="1">
      <alignment horizontal="center" vertical="center"/>
    </xf>
    <xf numFmtId="164" fontId="11" fillId="5" borderId="16" xfId="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64" fontId="11" fillId="5" borderId="1" xfId="2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167" fontId="11" fillId="0" borderId="2" xfId="1" applyNumberFormat="1" applyFont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9" fillId="5" borderId="13" xfId="1" applyNumberFormat="1" applyFont="1" applyFill="1" applyBorder="1" applyAlignment="1">
      <alignment horizontal="center" vertical="center"/>
    </xf>
    <xf numFmtId="0" fontId="9" fillId="5" borderId="4" xfId="1" applyNumberFormat="1" applyFont="1" applyFill="1" applyBorder="1" applyAlignment="1">
      <alignment horizontal="center" vertical="center"/>
    </xf>
    <xf numFmtId="165" fontId="11" fillId="0" borderId="0" xfId="1" applyNumberFormat="1" applyFont="1" applyFill="1" applyBorder="1" applyAlignment="1">
      <alignment horizontal="center" vertical="center"/>
    </xf>
  </cellXfs>
  <cellStyles count="5">
    <cellStyle name="Bueno" xfId="3" builtinId="26"/>
    <cellStyle name="Hipervínculo" xfId="4" builtinId="8"/>
    <cellStyle name="Millares" xfId="1" builtinId="3"/>
    <cellStyle name="Normal" xfId="0" builtinId="0"/>
    <cellStyle name="Porcentaje" xfId="2" builtinId="5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95959"/>
      <color rgb="FFE74545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8</xdr:col>
      <xdr:colOff>38953</xdr:colOff>
      <xdr:row>21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F7E313-7135-40A0-84B7-08CDEFEC26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980" r="7980"/>
        <a:stretch/>
      </xdr:blipFill>
      <xdr:spPr bwMode="auto">
        <a:xfrm>
          <a:off x="1" y="1"/>
          <a:ext cx="6134952" cy="424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63500</xdr:colOff>
      <xdr:row>0</xdr:row>
      <xdr:rowOff>95250</xdr:rowOff>
    </xdr:from>
    <xdr:to>
      <xdr:col>6</xdr:col>
      <xdr:colOff>724696</xdr:colOff>
      <xdr:row>3</xdr:row>
      <xdr:rowOff>31973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6C2E8D25-1AD8-4820-A78A-2C2255A35060}"/>
            </a:ext>
          </a:extLst>
        </xdr:cNvPr>
        <xdr:cNvSpPr>
          <a:spLocks noGrp="1"/>
        </xdr:cNvSpPr>
      </xdr:nvSpPr>
      <xdr:spPr>
        <a:xfrm>
          <a:off x="63500" y="95250"/>
          <a:ext cx="5233196" cy="489173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l"/>
          <a:r>
            <a:rPr lang="es-ES" sz="1600" i="0">
              <a:solidFill>
                <a:schemeClr val="bg1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Línea Directa Aseguradora Group</a:t>
          </a:r>
        </a:p>
      </xdr:txBody>
    </xdr:sp>
    <xdr:clientData/>
  </xdr:twoCellAnchor>
  <xdr:twoCellAnchor>
    <xdr:from>
      <xdr:col>0</xdr:col>
      <xdr:colOff>63500</xdr:colOff>
      <xdr:row>3</xdr:row>
      <xdr:rowOff>34291</xdr:rowOff>
    </xdr:from>
    <xdr:to>
      <xdr:col>7</xdr:col>
      <xdr:colOff>123825</xdr:colOff>
      <xdr:row>6</xdr:row>
      <xdr:rowOff>59914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20B4CEC5-04EF-4B1A-8ECF-5708EC8B687C}"/>
            </a:ext>
          </a:extLst>
        </xdr:cNvPr>
        <xdr:cNvSpPr txBox="1">
          <a:spLocks/>
        </xdr:cNvSpPr>
      </xdr:nvSpPr>
      <xdr:spPr>
        <a:xfrm>
          <a:off x="63500" y="653416"/>
          <a:ext cx="5394325" cy="597123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3600" b="1" i="0">
              <a:solidFill>
                <a:schemeClr val="bg1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More digital, more useful</a:t>
          </a:r>
        </a:p>
      </xdr:txBody>
    </xdr:sp>
    <xdr:clientData/>
  </xdr:twoCellAnchor>
  <xdr:twoCellAnchor>
    <xdr:from>
      <xdr:col>0</xdr:col>
      <xdr:colOff>156845</xdr:colOff>
      <xdr:row>13</xdr:row>
      <xdr:rowOff>731</xdr:rowOff>
    </xdr:from>
    <xdr:to>
      <xdr:col>7</xdr:col>
      <xdr:colOff>400050</xdr:colOff>
      <xdr:row>15</xdr:row>
      <xdr:rowOff>163089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56845" y="2394681"/>
          <a:ext cx="5577205" cy="53065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2800" b="1" i="0">
              <a:solidFill>
                <a:srgbClr val="F2F2F2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Financial Supplement</a:t>
          </a:r>
          <a:endParaRPr lang="es-ES" sz="2000" b="1" i="0">
            <a:solidFill>
              <a:srgbClr val="F2F2F2"/>
            </a:solidFill>
            <a:latin typeface="Futura Std Light" panose="020B0402020204020303" pitchFamily="34" charset="0"/>
          </a:endParaRPr>
        </a:p>
      </xdr:txBody>
    </xdr:sp>
    <xdr:clientData/>
  </xdr:twoCellAnchor>
  <xdr:twoCellAnchor>
    <xdr:from>
      <xdr:col>0</xdr:col>
      <xdr:colOff>189503</xdr:colOff>
      <xdr:row>15</xdr:row>
      <xdr:rowOff>155651</xdr:rowOff>
    </xdr:from>
    <xdr:to>
      <xdr:col>4</xdr:col>
      <xdr:colOff>247650</xdr:colOff>
      <xdr:row>17</xdr:row>
      <xdr:rowOff>134640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189503" y="3060776"/>
          <a:ext cx="3106147" cy="359989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600" i="0">
              <a:solidFill>
                <a:schemeClr val="bg1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6M 2021 Results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0.Estudio%20de%20Impacto%202011\Formularios\Hojas%20de%20trabajo\LTG_Core_Final_20130313_corregi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9.FLAOR%202013\122011_GRyCI_ORSA_02\Herramienta%20ORS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Index"/>
      <sheetName val="P.Readme"/>
      <sheetName val="Participant"/>
      <sheetName val="BS"/>
      <sheetName val="BS+"/>
      <sheetName val="SI"/>
      <sheetName val="Shared-2011"/>
      <sheetName val="Shared-2009"/>
      <sheetName val="Shared-2004"/>
      <sheetName val="BS-SI-Scen-0"/>
      <sheetName val="Scen-0"/>
      <sheetName val="Scen-1"/>
      <sheetName val="Scen-2"/>
      <sheetName val="Scen-3"/>
      <sheetName val="Scen-4"/>
      <sheetName val="Scen-5"/>
      <sheetName val="Scen-6"/>
      <sheetName val="Scen-7"/>
      <sheetName val="Scen-8"/>
      <sheetName val="Scen-9"/>
      <sheetName val="Scen-10"/>
      <sheetName val="Scen-11"/>
      <sheetName val="Scen-12"/>
      <sheetName val="ALM"/>
      <sheetName val="Overview"/>
      <sheetName val="Qualit"/>
    </sheetNames>
    <sheetDataSet>
      <sheetData sheetId="0" refreshError="1">
        <row r="2">
          <cell r="I2" t="str">
            <v>EIOPA LTG  20130325</v>
          </cell>
        </row>
        <row r="40">
          <cell r="F40" t="str">
            <v>.\LTG_I-adapted-(20130128).doc</v>
          </cell>
        </row>
      </sheetData>
      <sheetData sheetId="1" refreshError="1"/>
      <sheetData sheetId="2" refreshError="1">
        <row r="15">
          <cell r="G15" t="b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entificacion Usuario"/>
      <sheetName val="Pantalla_Admin"/>
      <sheetName val="INFO"/>
      <sheetName val="Descripción_Escenarios"/>
      <sheetName val="Seleccion_Riesgos"/>
      <sheetName val="Inputs_Proyección"/>
      <sheetName val="Inputs_Plantilla"/>
      <sheetName val="Resultados_Proyección"/>
      <sheetName val="Analisis_Complementario"/>
      <sheetName val="Inicio"/>
      <sheetName val="Menu_Secundario"/>
      <sheetName val="Inputs"/>
      <sheetName val="Tipo_de_Interes_Mercado"/>
      <sheetName val="Renta_Variable"/>
      <sheetName val="Inmuebles"/>
      <sheetName val="Tipo_de_Cambio"/>
      <sheetName val="Spread"/>
      <sheetName val="Concentracion"/>
      <sheetName val="Prima_Contraciclica"/>
      <sheetName val="Primas_Motor"/>
      <sheetName val="Reservas_Motor"/>
      <sheetName val="Primas_Reservas_Hogar"/>
      <sheetName val="Caidas_No_Vida"/>
      <sheetName val="CAT_No_Vida"/>
      <sheetName val="Contraparte"/>
      <sheetName val="Operacional"/>
      <sheetName val="Reputacional"/>
      <sheetName val="Regulatorio"/>
      <sheetName val="Cumplimiento_Normativo"/>
      <sheetName val="Gráfico"/>
      <sheetName val="Agregación Límites"/>
      <sheetName val="Proceso_ORSA"/>
      <sheetName val="Cover"/>
      <sheetName val="P&amp;L"/>
      <sheetName val="MI_Data"/>
      <sheetName val="SCR_Data"/>
      <sheetName val="Inversiones_Data"/>
      <sheetName val="Escenarios"/>
      <sheetName val="EBS_Escenarios"/>
      <sheetName val="Parámetros"/>
      <sheetName val="CE_Sobreescrito"/>
      <sheetName val="EBS_Base Proyección"/>
      <sheetName val="EBS_Base Proyec_Escenarios"/>
      <sheetName val="P&amp;L con scenarios"/>
      <sheetName val="MI_Data Escenarios"/>
      <sheetName val="EC-Aprox.Drivers"/>
      <sheetName val="EC-Modelos Internos"/>
      <sheetName val="EC-PyR-Hogar"/>
      <sheetName val="EC-R.Operacional"/>
      <sheetName val="EC-R.Pilar2"/>
      <sheetName val="MCR"/>
      <sheetName val="Agregación Riesgos"/>
      <sheetName val="EBS_Proyectado"/>
      <sheetName val="EBS_Proyec_Escenarios"/>
      <sheetName val="EBS_Data"/>
      <sheetName val="SCR Proyectado"/>
      <sheetName val="OF"/>
      <sheetName val="Resultados Clave"/>
      <sheetName val="Reverse Stress Test"/>
      <sheetName val="Complementario_OF"/>
      <sheetName val="Complementario_PPTT"/>
      <sheetName val="Complementario_CE"/>
      <sheetName val="Agregación Tolerancias"/>
      <sheetName val="Apetito_Riesgo"/>
      <sheetName val="Hoja_Calculos"/>
      <sheetName val="Hoja_Calculos (2)"/>
      <sheetName val="Herramienta OR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6">
          <cell r="D6">
            <v>3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dimension ref="I1:I24"/>
  <sheetViews>
    <sheetView showGridLines="0" tabSelected="1" zoomScale="120" zoomScaleNormal="120" workbookViewId="0"/>
  </sheetViews>
  <sheetFormatPr baseColWidth="10" defaultColWidth="11.42578125" defaultRowHeight="15.75" x14ac:dyDescent="0.3"/>
  <cols>
    <col min="1" max="8" width="11.42578125" style="104"/>
    <col min="9" max="9" width="31.5703125" style="50" bestFit="1" customWidth="1"/>
    <col min="10" max="16384" width="11.42578125" style="104"/>
  </cols>
  <sheetData>
    <row r="1" spans="9:9" ht="18.75" customHeight="1" x14ac:dyDescent="0.3">
      <c r="I1" s="103" t="s">
        <v>114</v>
      </c>
    </row>
    <row r="2" spans="9:9" x14ac:dyDescent="0.3">
      <c r="I2" s="134"/>
    </row>
    <row r="3" spans="9:9" x14ac:dyDescent="0.3">
      <c r="I3" s="135" t="s">
        <v>115</v>
      </c>
    </row>
    <row r="4" spans="9:9" x14ac:dyDescent="0.3">
      <c r="I4" s="135" t="s">
        <v>116</v>
      </c>
    </row>
    <row r="5" spans="9:9" x14ac:dyDescent="0.3">
      <c r="I5" s="135" t="s">
        <v>117</v>
      </c>
    </row>
    <row r="6" spans="9:9" x14ac:dyDescent="0.3">
      <c r="I6" s="136" t="s">
        <v>3</v>
      </c>
    </row>
    <row r="7" spans="9:9" x14ac:dyDescent="0.3">
      <c r="I7" s="136" t="s">
        <v>4</v>
      </c>
    </row>
    <row r="8" spans="9:9" x14ac:dyDescent="0.3">
      <c r="I8" s="136" t="s">
        <v>5</v>
      </c>
    </row>
    <row r="9" spans="9:9" x14ac:dyDescent="0.3">
      <c r="I9" s="136" t="s">
        <v>6</v>
      </c>
    </row>
    <row r="10" spans="9:9" x14ac:dyDescent="0.3">
      <c r="I10" s="135" t="s">
        <v>118</v>
      </c>
    </row>
    <row r="11" spans="9:9" x14ac:dyDescent="0.3">
      <c r="I11" s="135" t="s">
        <v>119</v>
      </c>
    </row>
    <row r="12" spans="9:9" x14ac:dyDescent="0.3">
      <c r="I12" s="135"/>
    </row>
    <row r="13" spans="9:9" x14ac:dyDescent="0.3">
      <c r="I13" s="135"/>
    </row>
    <row r="14" spans="9:9" x14ac:dyDescent="0.3">
      <c r="I14" s="105"/>
    </row>
    <row r="15" spans="9:9" x14ac:dyDescent="0.3">
      <c r="I15" s="105"/>
    </row>
    <row r="16" spans="9:9" x14ac:dyDescent="0.3">
      <c r="I16" s="105"/>
    </row>
    <row r="17" spans="9:9" x14ac:dyDescent="0.3">
      <c r="I17" s="105"/>
    </row>
    <row r="18" spans="9:9" x14ac:dyDescent="0.3">
      <c r="I18" s="105"/>
    </row>
    <row r="19" spans="9:9" x14ac:dyDescent="0.3">
      <c r="I19" s="105"/>
    </row>
    <row r="20" spans="9:9" x14ac:dyDescent="0.3">
      <c r="I20" s="105"/>
    </row>
    <row r="21" spans="9:9" x14ac:dyDescent="0.3">
      <c r="I21" s="105"/>
    </row>
    <row r="22" spans="9:9" x14ac:dyDescent="0.3">
      <c r="I22" s="41"/>
    </row>
    <row r="23" spans="9:9" x14ac:dyDescent="0.3">
      <c r="I23" s="41"/>
    </row>
    <row r="24" spans="9:9" x14ac:dyDescent="0.3">
      <c r="I24" s="41"/>
    </row>
  </sheetData>
  <hyperlinks>
    <hyperlink ref="I3" location="'Balance sheet'!A1" display="Balance sheet" xr:uid="{51D99719-9D2D-41E1-8680-5A95A419967E}"/>
    <hyperlink ref="I4" location="'P&amp;L'!A1" display="P&amp;L" xr:uid="{B9DA70F5-FBB5-4214-95CD-8F434AAA3509}"/>
    <hyperlink ref="I5" location="'Business lines'!A1" display="Business lines" xr:uid="{0563098A-2E9D-4196-BE10-3B4C2D8EE785}"/>
    <hyperlink ref="I6" location="Motor!A1" display="Motor" xr:uid="{2C0E94A1-CE03-4CC7-9616-5E5F857A5995}"/>
    <hyperlink ref="I7" location="Home!A1" display="Home" xr:uid="{A5145BB3-AF7C-45FF-A38C-776D9AD0D6F2}"/>
    <hyperlink ref="I8" location="Health!A1" display="Health" xr:uid="{7150625E-7899-4BEC-AC04-1FAFF5534BE3}"/>
    <hyperlink ref="I9" location="Other!A1" display="Other" xr:uid="{3A8AF698-D20D-450A-BAE0-5FA1A3DA11DC}"/>
    <hyperlink ref="I10" location="Investments!A1" display="Investments" xr:uid="{F3C7B734-4AC3-43B1-ABD8-B66F22E2B506}"/>
    <hyperlink ref="I11" location="Solvency!A1" display="Solvency" xr:uid="{947129DC-E1C4-41BE-83D7-3FEA09C5A91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dimension ref="A1:G28"/>
  <sheetViews>
    <sheetView showGridLines="0" workbookViewId="0"/>
  </sheetViews>
  <sheetFormatPr baseColWidth="10" defaultColWidth="11.42578125" defaultRowHeight="13.5" x14ac:dyDescent="0.25"/>
  <cols>
    <col min="1" max="1" width="10.7109375" style="111" customWidth="1"/>
    <col min="2" max="2" width="44.85546875" style="111" bestFit="1" customWidth="1"/>
    <col min="3" max="6" width="13.42578125" style="111" customWidth="1"/>
    <col min="7" max="16384" width="11.42578125" style="111"/>
  </cols>
  <sheetData>
    <row r="1" spans="1:7" ht="16.5" customHeight="1" x14ac:dyDescent="0.25"/>
    <row r="2" spans="1:7" ht="18.75" customHeight="1" thickBot="1" x14ac:dyDescent="0.3">
      <c r="A2" s="137" t="s">
        <v>114</v>
      </c>
      <c r="B2" s="29" t="s">
        <v>96</v>
      </c>
      <c r="C2" s="29"/>
      <c r="D2" s="29"/>
      <c r="E2" s="29"/>
      <c r="F2" s="29"/>
    </row>
    <row r="4" spans="1:7" ht="16.5" customHeight="1" thickBot="1" x14ac:dyDescent="0.3">
      <c r="B4" s="24"/>
      <c r="C4" s="25" t="s">
        <v>45</v>
      </c>
      <c r="D4" s="25" t="s">
        <v>17</v>
      </c>
      <c r="E4" s="34" t="s">
        <v>18</v>
      </c>
      <c r="F4" s="36" t="s">
        <v>46</v>
      </c>
      <c r="G4" s="112"/>
    </row>
    <row r="5" spans="1:7" x14ac:dyDescent="0.25">
      <c r="B5" s="112" t="s">
        <v>106</v>
      </c>
      <c r="C5" s="113">
        <v>167878</v>
      </c>
      <c r="D5" s="113">
        <v>161007</v>
      </c>
      <c r="E5" s="118">
        <v>161004</v>
      </c>
      <c r="F5" s="47">
        <v>176041.67744011318</v>
      </c>
      <c r="G5" s="112"/>
    </row>
    <row r="6" spans="1:7" x14ac:dyDescent="0.25">
      <c r="B6" s="112" t="s">
        <v>97</v>
      </c>
      <c r="C6" s="113">
        <v>94357</v>
      </c>
      <c r="D6" s="113">
        <v>104548</v>
      </c>
      <c r="E6" s="118">
        <v>113510</v>
      </c>
      <c r="F6" s="47">
        <v>134741.65042514564</v>
      </c>
      <c r="G6" s="112"/>
    </row>
    <row r="7" spans="1:7" x14ac:dyDescent="0.25">
      <c r="B7" s="112" t="s">
        <v>103</v>
      </c>
      <c r="C7" s="113">
        <v>15833</v>
      </c>
      <c r="D7" s="113">
        <v>15886</v>
      </c>
      <c r="E7" s="118">
        <v>15291</v>
      </c>
      <c r="F7" s="47">
        <v>13088.640344853802</v>
      </c>
      <c r="G7" s="112"/>
    </row>
    <row r="8" spans="1:7" x14ac:dyDescent="0.25">
      <c r="B8" s="112" t="s">
        <v>104</v>
      </c>
      <c r="C8" s="113">
        <v>1436</v>
      </c>
      <c r="D8" s="113">
        <v>2233</v>
      </c>
      <c r="E8" s="118">
        <v>2778</v>
      </c>
      <c r="F8" s="47">
        <v>2912.5300520279488</v>
      </c>
      <c r="G8" s="112"/>
    </row>
    <row r="9" spans="1:7" x14ac:dyDescent="0.25">
      <c r="B9" s="112" t="s">
        <v>98</v>
      </c>
      <c r="C9" s="114">
        <v>-58725</v>
      </c>
      <c r="D9" s="114">
        <v>-62201</v>
      </c>
      <c r="E9" s="119">
        <v>-65218</v>
      </c>
      <c r="F9" s="47">
        <f>F10-SUM(F5:F8)</f>
        <v>-72644.63173497899</v>
      </c>
      <c r="G9" s="112"/>
    </row>
    <row r="10" spans="1:7" x14ac:dyDescent="0.25">
      <c r="B10" s="115" t="s">
        <v>107</v>
      </c>
      <c r="C10" s="116">
        <v>220779</v>
      </c>
      <c r="D10" s="116">
        <v>221473</v>
      </c>
      <c r="E10" s="120">
        <v>227365</v>
      </c>
      <c r="F10" s="46">
        <v>254139.86652716156</v>
      </c>
      <c r="G10" s="112"/>
    </row>
    <row r="11" spans="1:7" x14ac:dyDescent="0.25">
      <c r="B11" s="112" t="s">
        <v>105</v>
      </c>
      <c r="C11" s="113">
        <v>24796</v>
      </c>
      <c r="D11" s="113">
        <v>26092</v>
      </c>
      <c r="E11" s="118">
        <v>26935</v>
      </c>
      <c r="F11" s="47">
        <v>27019.087958100001</v>
      </c>
      <c r="G11" s="112"/>
    </row>
    <row r="12" spans="1:7" ht="14.25" thickBot="1" x14ac:dyDescent="0.3">
      <c r="B12" s="112" t="s">
        <v>99</v>
      </c>
      <c r="C12" s="114">
        <v>-61394</v>
      </c>
      <c r="D12" s="114">
        <v>-61891</v>
      </c>
      <c r="E12" s="119">
        <v>-63575</v>
      </c>
      <c r="F12" s="47">
        <v>-70289.738621315395</v>
      </c>
      <c r="G12" s="112"/>
    </row>
    <row r="13" spans="1:7" ht="14.25" thickBot="1" x14ac:dyDescent="0.3">
      <c r="B13" s="26" t="s">
        <v>108</v>
      </c>
      <c r="C13" s="27">
        <v>184181</v>
      </c>
      <c r="D13" s="27">
        <v>185674</v>
      </c>
      <c r="E13" s="33">
        <v>190725</v>
      </c>
      <c r="F13" s="39">
        <v>210869.21586394616</v>
      </c>
      <c r="G13" s="112"/>
    </row>
    <row r="14" spans="1:7" ht="9" customHeight="1" x14ac:dyDescent="0.25">
      <c r="B14" s="42"/>
      <c r="C14" s="55"/>
      <c r="D14" s="55"/>
      <c r="E14" s="55"/>
      <c r="F14" s="112"/>
      <c r="G14" s="112"/>
    </row>
    <row r="15" spans="1:7" x14ac:dyDescent="0.25">
      <c r="B15" s="112"/>
      <c r="C15" s="112"/>
      <c r="D15" s="112"/>
      <c r="E15" s="121"/>
      <c r="F15" s="117" t="s">
        <v>102</v>
      </c>
      <c r="G15" s="112"/>
    </row>
    <row r="16" spans="1:7" x14ac:dyDescent="0.25">
      <c r="B16" s="112"/>
      <c r="C16" s="112"/>
      <c r="D16" s="112"/>
      <c r="E16" s="122"/>
      <c r="F16" s="112"/>
      <c r="G16" s="112"/>
    </row>
    <row r="17" spans="2:7" x14ac:dyDescent="0.25">
      <c r="B17" s="112"/>
      <c r="C17" s="112"/>
      <c r="D17" s="112"/>
      <c r="E17" s="121"/>
      <c r="F17" s="112"/>
      <c r="G17" s="112"/>
    </row>
    <row r="18" spans="2:7" ht="14.25" thickBot="1" x14ac:dyDescent="0.3">
      <c r="B18" s="24"/>
      <c r="C18" s="25" t="s">
        <v>45</v>
      </c>
      <c r="D18" s="25" t="s">
        <v>17</v>
      </c>
      <c r="E18" s="34" t="s">
        <v>18</v>
      </c>
      <c r="F18" s="36" t="s">
        <v>46</v>
      </c>
      <c r="G18" s="112"/>
    </row>
    <row r="19" spans="2:7" x14ac:dyDescent="0.25">
      <c r="B19" s="115" t="s">
        <v>109</v>
      </c>
      <c r="C19" s="116">
        <v>82881</v>
      </c>
      <c r="D19" s="116">
        <v>83553</v>
      </c>
      <c r="E19" s="120">
        <v>85826</v>
      </c>
      <c r="F19" s="46">
        <v>94891.147138775777</v>
      </c>
      <c r="G19" s="112"/>
    </row>
    <row r="20" spans="2:7" x14ac:dyDescent="0.25">
      <c r="B20" s="115" t="s">
        <v>108</v>
      </c>
      <c r="C20" s="116">
        <f t="shared" ref="C20" si="0">+C13</f>
        <v>184181</v>
      </c>
      <c r="D20" s="116">
        <f>+D13</f>
        <v>185674</v>
      </c>
      <c r="E20" s="120">
        <f>+E13</f>
        <v>190725</v>
      </c>
      <c r="F20" s="138">
        <f>+F13</f>
        <v>210869.21586394616</v>
      </c>
      <c r="G20" s="112"/>
    </row>
    <row r="21" spans="2:7" x14ac:dyDescent="0.25">
      <c r="B21" s="115"/>
      <c r="C21" s="116"/>
      <c r="D21" s="116"/>
      <c r="E21" s="120"/>
      <c r="F21" s="46"/>
      <c r="G21" s="112"/>
    </row>
    <row r="22" spans="2:7" x14ac:dyDescent="0.25">
      <c r="B22" s="115" t="s">
        <v>100</v>
      </c>
      <c r="C22" s="116">
        <v>385270.20790162636</v>
      </c>
      <c r="D22" s="116">
        <v>391162.2635219369</v>
      </c>
      <c r="E22" s="120">
        <f>526011.113113886-120000</f>
        <v>406011.11311388598</v>
      </c>
      <c r="F22" s="46">
        <v>428100.84974371793</v>
      </c>
      <c r="G22" s="112"/>
    </row>
    <row r="23" spans="2:7" x14ac:dyDescent="0.25">
      <c r="B23" s="129" t="s">
        <v>101</v>
      </c>
      <c r="C23" s="130">
        <v>1</v>
      </c>
      <c r="D23" s="130">
        <v>1</v>
      </c>
      <c r="E23" s="131">
        <v>1</v>
      </c>
      <c r="F23" s="132">
        <v>1</v>
      </c>
      <c r="G23" s="112"/>
    </row>
    <row r="24" spans="2:7" ht="14.25" thickBot="1" x14ac:dyDescent="0.3">
      <c r="B24" s="115"/>
      <c r="C24" s="116"/>
      <c r="D24" s="116"/>
      <c r="E24" s="120"/>
      <c r="F24" s="46"/>
      <c r="G24" s="112"/>
    </row>
    <row r="25" spans="2:7" x14ac:dyDescent="0.25">
      <c r="B25" s="124" t="s">
        <v>110</v>
      </c>
      <c r="C25" s="125">
        <f t="shared" ref="C25" si="1">+C22/C19</f>
        <v>4.6484744139383736</v>
      </c>
      <c r="D25" s="125">
        <f>+D22/D19</f>
        <v>4.6816064476671917</v>
      </c>
      <c r="E25" s="128">
        <f>+E22/E19</f>
        <v>4.7306307309426741</v>
      </c>
      <c r="F25" s="139">
        <f>+F22/F19</f>
        <v>4.5114940924639875</v>
      </c>
      <c r="G25" s="112"/>
    </row>
    <row r="26" spans="2:7" ht="14.25" thickBot="1" x14ac:dyDescent="0.3">
      <c r="B26" s="123" t="s">
        <v>111</v>
      </c>
      <c r="C26" s="126">
        <f>+C22/C13</f>
        <v>2.0918021288929172</v>
      </c>
      <c r="D26" s="126">
        <f>+D22/D13</f>
        <v>2.1067153372143483</v>
      </c>
      <c r="E26" s="127">
        <f>+E22/E13</f>
        <v>2.1287776280712332</v>
      </c>
      <c r="F26" s="140">
        <f>+F22/F13</f>
        <v>2.0301723416087945</v>
      </c>
      <c r="G26" s="112"/>
    </row>
    <row r="27" spans="2:7" ht="9" customHeight="1" x14ac:dyDescent="0.25">
      <c r="B27" s="42"/>
      <c r="C27" s="55"/>
      <c r="D27" s="55"/>
      <c r="E27" s="55"/>
      <c r="F27" s="133"/>
      <c r="G27" s="133"/>
    </row>
    <row r="28" spans="2:7" x14ac:dyDescent="0.25">
      <c r="B28" s="112"/>
      <c r="C28" s="112"/>
      <c r="D28" s="112"/>
      <c r="E28" s="112"/>
      <c r="F28" s="117" t="s">
        <v>102</v>
      </c>
      <c r="G28" s="112"/>
    </row>
  </sheetData>
  <hyperlinks>
    <hyperlink ref="A2" location="'Financial supplement&gt;&gt;&gt;'!A1" display="INDEX" xr:uid="{A9B2FDD4-23C9-4B56-919F-F46F18546E24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F505-6E42-4774-BBAC-F60733D9F807}">
  <dimension ref="A1:J38"/>
  <sheetViews>
    <sheetView showGridLines="0" zoomScaleNormal="100" workbookViewId="0"/>
  </sheetViews>
  <sheetFormatPr baseColWidth="10" defaultColWidth="11.42578125" defaultRowHeight="15.75" x14ac:dyDescent="0.25"/>
  <cols>
    <col min="1" max="1" width="10.5703125" style="13" customWidth="1"/>
    <col min="2" max="2" width="75.28515625" style="13" customWidth="1" collapsed="1"/>
    <col min="3" max="5" width="12.7109375" style="13" customWidth="1"/>
    <col min="6" max="6" width="13.28515625" style="13" customWidth="1"/>
    <col min="7" max="16384" width="11.42578125" style="13"/>
  </cols>
  <sheetData>
    <row r="1" spans="1:6" ht="16.5" customHeight="1" x14ac:dyDescent="0.25">
      <c r="A1" s="12"/>
    </row>
    <row r="2" spans="1:6" ht="18.75" customHeight="1" thickBot="1" x14ac:dyDescent="0.3">
      <c r="A2" s="137" t="s">
        <v>114</v>
      </c>
      <c r="B2" s="29" t="s">
        <v>67</v>
      </c>
      <c r="C2" s="30"/>
      <c r="D2" s="30"/>
      <c r="E2" s="30"/>
      <c r="F2" s="30"/>
    </row>
    <row r="3" spans="1:6" x14ac:dyDescent="0.25">
      <c r="B3" s="14"/>
      <c r="C3" s="14"/>
      <c r="D3" s="14"/>
      <c r="E3" s="14"/>
      <c r="F3" s="14"/>
    </row>
    <row r="4" spans="1:6" ht="16.5" thickBot="1" x14ac:dyDescent="0.3">
      <c r="B4" s="24" t="s">
        <v>31</v>
      </c>
      <c r="C4" s="25" t="s">
        <v>45</v>
      </c>
      <c r="D4" s="25" t="s">
        <v>17</v>
      </c>
      <c r="E4" s="34" t="s">
        <v>18</v>
      </c>
      <c r="F4" s="36" t="s">
        <v>46</v>
      </c>
    </row>
    <row r="5" spans="1:6" x14ac:dyDescent="0.25">
      <c r="B5" s="18" t="s">
        <v>32</v>
      </c>
      <c r="C5" s="19">
        <v>166776</v>
      </c>
      <c r="D5" s="19">
        <v>144937</v>
      </c>
      <c r="E5" s="32">
        <v>162500</v>
      </c>
      <c r="F5" s="37">
        <v>114152</v>
      </c>
    </row>
    <row r="6" spans="1:6" x14ac:dyDescent="0.25">
      <c r="B6" s="18" t="s">
        <v>48</v>
      </c>
      <c r="C6" s="19">
        <f>SUM(C7:C8)</f>
        <v>782715</v>
      </c>
      <c r="D6" s="19">
        <f>SUM(D7:D8)</f>
        <v>834498</v>
      </c>
      <c r="E6" s="32">
        <f>SUM(E7:E8)</f>
        <v>917074</v>
      </c>
      <c r="F6" s="37">
        <f>SUM(F7:F8)</f>
        <v>902658</v>
      </c>
    </row>
    <row r="7" spans="1:6" x14ac:dyDescent="0.25">
      <c r="B7" s="23" t="s">
        <v>33</v>
      </c>
      <c r="C7" s="21">
        <v>88763</v>
      </c>
      <c r="D7" s="21">
        <v>116688</v>
      </c>
      <c r="E7" s="31">
        <v>125855</v>
      </c>
      <c r="F7" s="38">
        <v>154855</v>
      </c>
    </row>
    <row r="8" spans="1:6" x14ac:dyDescent="0.25">
      <c r="B8" s="23" t="s">
        <v>49</v>
      </c>
      <c r="C8" s="21">
        <v>693952</v>
      </c>
      <c r="D8" s="21">
        <v>717810</v>
      </c>
      <c r="E8" s="31">
        <v>791219</v>
      </c>
      <c r="F8" s="38">
        <v>747803</v>
      </c>
    </row>
    <row r="9" spans="1:6" x14ac:dyDescent="0.25">
      <c r="B9" s="18" t="s">
        <v>34</v>
      </c>
      <c r="C9" s="19">
        <v>115951</v>
      </c>
      <c r="D9" s="19">
        <v>106760</v>
      </c>
      <c r="E9" s="32">
        <v>110373</v>
      </c>
      <c r="F9" s="37">
        <v>117440</v>
      </c>
    </row>
    <row r="10" spans="1:6" x14ac:dyDescent="0.25">
      <c r="B10" s="18" t="s">
        <v>50</v>
      </c>
      <c r="C10" s="19">
        <v>7318</v>
      </c>
      <c r="D10" s="19">
        <v>9517</v>
      </c>
      <c r="E10" s="32">
        <v>12477</v>
      </c>
      <c r="F10" s="37">
        <v>18397</v>
      </c>
    </row>
    <row r="11" spans="1:6" x14ac:dyDescent="0.25">
      <c r="B11" s="18" t="s">
        <v>55</v>
      </c>
      <c r="C11" s="19">
        <f t="shared" ref="C11:F11" si="0">SUM(C12:C13)</f>
        <v>110844</v>
      </c>
      <c r="D11" s="19">
        <f t="shared" si="0"/>
        <v>114588</v>
      </c>
      <c r="E11" s="32">
        <f t="shared" si="0"/>
        <v>111282</v>
      </c>
      <c r="F11" s="37">
        <f t="shared" si="0"/>
        <v>111009</v>
      </c>
    </row>
    <row r="12" spans="1:6" x14ac:dyDescent="0.25">
      <c r="B12" s="23" t="s">
        <v>53</v>
      </c>
      <c r="C12" s="21">
        <v>43386</v>
      </c>
      <c r="D12" s="21">
        <v>47918</v>
      </c>
      <c r="E12" s="31">
        <v>45334</v>
      </c>
      <c r="F12" s="38">
        <v>45103</v>
      </c>
    </row>
    <row r="13" spans="1:6" x14ac:dyDescent="0.25">
      <c r="B13" s="23" t="s">
        <v>54</v>
      </c>
      <c r="C13" s="21">
        <v>67458</v>
      </c>
      <c r="D13" s="21">
        <v>66670</v>
      </c>
      <c r="E13" s="31">
        <v>65948</v>
      </c>
      <c r="F13" s="38">
        <v>65906</v>
      </c>
    </row>
    <row r="14" spans="1:6" x14ac:dyDescent="0.25">
      <c r="B14" s="18" t="s">
        <v>35</v>
      </c>
      <c r="C14" s="19">
        <v>7593</v>
      </c>
      <c r="D14" s="19">
        <v>11845</v>
      </c>
      <c r="E14" s="32">
        <v>12688</v>
      </c>
      <c r="F14" s="37">
        <v>12859</v>
      </c>
    </row>
    <row r="15" spans="1:6" ht="16.5" thickBot="1" x14ac:dyDescent="0.3">
      <c r="B15" s="18" t="s">
        <v>36</v>
      </c>
      <c r="C15" s="19">
        <v>109552</v>
      </c>
      <c r="D15" s="19">
        <v>114481</v>
      </c>
      <c r="E15" s="32">
        <v>110139</v>
      </c>
      <c r="F15" s="37">
        <v>112847</v>
      </c>
    </row>
    <row r="16" spans="1:6" ht="16.5" thickBot="1" x14ac:dyDescent="0.3">
      <c r="B16" s="26" t="s">
        <v>68</v>
      </c>
      <c r="C16" s="27">
        <f>SUM(C5,C6,C9,C10,C11,C14,C15)</f>
        <v>1300749</v>
      </c>
      <c r="D16" s="27">
        <f t="shared" ref="D16:E16" si="1">SUM(D5,D6,D9,D10,D11,D14,D15)</f>
        <v>1336626</v>
      </c>
      <c r="E16" s="33">
        <f t="shared" si="1"/>
        <v>1436533</v>
      </c>
      <c r="F16" s="39">
        <f t="shared" ref="F16" si="2">SUM(F5,F6,F9,F10,F11,F14,F15)</f>
        <v>1389362</v>
      </c>
    </row>
    <row r="17" spans="2:10" s="5" customFormat="1" ht="9" customHeight="1" x14ac:dyDescent="0.25">
      <c r="D17" s="42"/>
      <c r="E17" s="90"/>
      <c r="F17" s="90"/>
      <c r="G17" s="90"/>
      <c r="H17" s="90"/>
      <c r="I17" s="90"/>
      <c r="J17" s="91"/>
    </row>
    <row r="18" spans="2:10" s="5" customFormat="1" ht="15" x14ac:dyDescent="0.25">
      <c r="D18" s="44"/>
      <c r="E18" s="92"/>
      <c r="F18" s="54" t="s">
        <v>102</v>
      </c>
      <c r="G18" s="92"/>
      <c r="I18" s="92"/>
    </row>
    <row r="19" spans="2:10" x14ac:dyDescent="0.25">
      <c r="B19" s="15"/>
      <c r="C19" s="16"/>
      <c r="D19" s="16"/>
      <c r="E19" s="16"/>
      <c r="F19" s="16"/>
    </row>
    <row r="21" spans="2:10" ht="16.5" thickBot="1" x14ac:dyDescent="0.3">
      <c r="B21" s="24" t="s">
        <v>38</v>
      </c>
      <c r="C21" s="25" t="s">
        <v>45</v>
      </c>
      <c r="D21" s="25" t="s">
        <v>17</v>
      </c>
      <c r="E21" s="34" t="s">
        <v>18</v>
      </c>
      <c r="F21" s="36" t="s">
        <v>46</v>
      </c>
    </row>
    <row r="22" spans="2:10" x14ac:dyDescent="0.25">
      <c r="B22" s="18" t="s">
        <v>47</v>
      </c>
      <c r="C22" s="19">
        <v>211889</v>
      </c>
      <c r="D22" s="19">
        <v>207608</v>
      </c>
      <c r="E22" s="32">
        <v>174445</v>
      </c>
      <c r="F22" s="37">
        <v>202433</v>
      </c>
    </row>
    <row r="23" spans="2:10" x14ac:dyDescent="0.25">
      <c r="B23" s="18" t="s">
        <v>37</v>
      </c>
      <c r="C23" s="19">
        <v>3385</v>
      </c>
      <c r="D23" s="19">
        <v>13584</v>
      </c>
      <c r="E23" s="32">
        <v>15167</v>
      </c>
      <c r="F23" s="37">
        <v>11628</v>
      </c>
    </row>
    <row r="24" spans="2:10" x14ac:dyDescent="0.25">
      <c r="B24" s="18" t="s">
        <v>42</v>
      </c>
      <c r="C24" s="19">
        <f>SUM(C25:C27)</f>
        <v>725891</v>
      </c>
      <c r="D24" s="19">
        <f>SUM(D25:D27)</f>
        <v>725860</v>
      </c>
      <c r="E24" s="32">
        <f>SUM(E25:E27)</f>
        <v>716491</v>
      </c>
      <c r="F24" s="37">
        <f>SUM(F25:F27)</f>
        <v>726457</v>
      </c>
    </row>
    <row r="25" spans="2:10" x14ac:dyDescent="0.25">
      <c r="B25" s="23" t="s">
        <v>51</v>
      </c>
      <c r="C25" s="21">
        <v>428118</v>
      </c>
      <c r="D25" s="21">
        <v>443115</v>
      </c>
      <c r="E25" s="31">
        <v>446423</v>
      </c>
      <c r="F25" s="38">
        <v>456151</v>
      </c>
    </row>
    <row r="26" spans="2:10" x14ac:dyDescent="0.25">
      <c r="B26" s="23" t="s">
        <v>56</v>
      </c>
      <c r="C26" s="21">
        <v>0</v>
      </c>
      <c r="D26" s="21">
        <v>6115</v>
      </c>
      <c r="E26" s="31">
        <v>4622</v>
      </c>
      <c r="F26" s="38">
        <v>4622</v>
      </c>
    </row>
    <row r="27" spans="2:10" x14ac:dyDescent="0.25">
      <c r="B27" s="23" t="s">
        <v>52</v>
      </c>
      <c r="C27" s="21">
        <v>297773</v>
      </c>
      <c r="D27" s="21">
        <v>276630</v>
      </c>
      <c r="E27" s="31">
        <v>265446</v>
      </c>
      <c r="F27" s="38">
        <v>265684</v>
      </c>
    </row>
    <row r="28" spans="2:10" x14ac:dyDescent="0.25">
      <c r="B28" s="18" t="s">
        <v>43</v>
      </c>
      <c r="C28" s="19">
        <v>24652</v>
      </c>
      <c r="D28" s="19">
        <v>22816</v>
      </c>
      <c r="E28" s="32">
        <v>16849</v>
      </c>
      <c r="F28" s="37">
        <v>17105</v>
      </c>
    </row>
    <row r="29" spans="2:10" ht="16.5" thickBot="1" x14ac:dyDescent="0.3">
      <c r="B29" s="18" t="s">
        <v>44</v>
      </c>
      <c r="C29" s="19">
        <v>46728</v>
      </c>
      <c r="D29" s="19">
        <v>41698</v>
      </c>
      <c r="E29" s="32">
        <v>46222</v>
      </c>
      <c r="F29" s="37">
        <v>47851</v>
      </c>
    </row>
    <row r="30" spans="2:10" ht="16.5" thickBot="1" x14ac:dyDescent="0.3">
      <c r="B30" s="26" t="s">
        <v>39</v>
      </c>
      <c r="C30" s="28">
        <f t="shared" ref="C30" si="3">SUM(C29,C28,C24,C23,C22)</f>
        <v>1012545</v>
      </c>
      <c r="D30" s="28">
        <f t="shared" ref="D30" si="4">SUM(D29,D28,D24,D23,D22)</f>
        <v>1011566</v>
      </c>
      <c r="E30" s="35">
        <f>SUM(E29,E28,E24,E23,E22)</f>
        <v>969174</v>
      </c>
      <c r="F30" s="40">
        <f t="shared" ref="F30" si="5">SUM(F29,F28,F24,F23,F22)</f>
        <v>1005474</v>
      </c>
    </row>
    <row r="31" spans="2:10" x14ac:dyDescent="0.25">
      <c r="B31" s="20" t="s">
        <v>94</v>
      </c>
      <c r="C31" s="21">
        <v>273634</v>
      </c>
      <c r="D31" s="21">
        <v>287881</v>
      </c>
      <c r="E31" s="31">
        <v>422727</v>
      </c>
      <c r="F31" s="38">
        <v>333668</v>
      </c>
    </row>
    <row r="32" spans="2:10" ht="16.5" thickBot="1" x14ac:dyDescent="0.3">
      <c r="B32" s="20" t="s">
        <v>95</v>
      </c>
      <c r="C32" s="21">
        <v>14570</v>
      </c>
      <c r="D32" s="21">
        <v>37179</v>
      </c>
      <c r="E32" s="31">
        <v>44632</v>
      </c>
      <c r="F32" s="38">
        <v>50220</v>
      </c>
    </row>
    <row r="33" spans="2:10" ht="16.5" thickBot="1" x14ac:dyDescent="0.3">
      <c r="B33" s="26" t="s">
        <v>40</v>
      </c>
      <c r="C33" s="28">
        <f t="shared" ref="C33" si="6">SUM(C31:C32)</f>
        <v>288204</v>
      </c>
      <c r="D33" s="28">
        <f t="shared" ref="D33" si="7">SUM(D31:D32)</f>
        <v>325060</v>
      </c>
      <c r="E33" s="35">
        <f>SUM(E31:E32)</f>
        <v>467359</v>
      </c>
      <c r="F33" s="40">
        <f t="shared" ref="F33" si="8">SUM(F31:F32)</f>
        <v>383888</v>
      </c>
    </row>
    <row r="34" spans="2:10" ht="16.5" thickBot="1" x14ac:dyDescent="0.3">
      <c r="B34" s="26" t="s">
        <v>41</v>
      </c>
      <c r="C34" s="28">
        <f>C33+C30</f>
        <v>1300749</v>
      </c>
      <c r="D34" s="28">
        <f>D33+D30</f>
        <v>1336626</v>
      </c>
      <c r="E34" s="35">
        <f>E33+E30</f>
        <v>1436533</v>
      </c>
      <c r="F34" s="40">
        <f>F33+F30</f>
        <v>1389362</v>
      </c>
    </row>
    <row r="35" spans="2:10" s="5" customFormat="1" ht="9" customHeight="1" x14ac:dyDescent="0.25">
      <c r="D35" s="42"/>
      <c r="E35" s="90"/>
      <c r="F35" s="90"/>
      <c r="G35" s="90"/>
      <c r="H35" s="90"/>
      <c r="I35" s="90"/>
      <c r="J35" s="91"/>
    </row>
    <row r="36" spans="2:10" s="5" customFormat="1" ht="15" x14ac:dyDescent="0.25">
      <c r="D36" s="44"/>
      <c r="E36" s="92"/>
      <c r="F36" s="54" t="s">
        <v>102</v>
      </c>
      <c r="G36" s="92"/>
      <c r="I36" s="92"/>
    </row>
    <row r="37" spans="2:10" x14ac:dyDescent="0.25">
      <c r="B37" s="15"/>
      <c r="C37" s="16"/>
      <c r="D37" s="16"/>
      <c r="E37" s="16"/>
      <c r="F37" s="16"/>
    </row>
    <row r="38" spans="2:10" x14ac:dyDescent="0.25">
      <c r="C38" s="17" t="str">
        <f>IF(C34=C16,"OK","NOT OK")</f>
        <v>OK</v>
      </c>
      <c r="D38" s="17" t="str">
        <f>IF(D34=D16,"OK","NOT OK")</f>
        <v>OK</v>
      </c>
      <c r="E38" s="17" t="str">
        <f>IF(E34=E16,"OK","NOT OK")</f>
        <v>OK</v>
      </c>
      <c r="F38" s="17" t="str">
        <f>IF(F34=F16,"OK","NOT OK")</f>
        <v>OK</v>
      </c>
    </row>
  </sheetData>
  <conditionalFormatting sqref="D38">
    <cfRule type="cellIs" dxfId="7" priority="11" operator="equal">
      <formula>"NOT OK"</formula>
    </cfRule>
    <cfRule type="cellIs" dxfId="6" priority="12" operator="equal">
      <formula>"OK"</formula>
    </cfRule>
  </conditionalFormatting>
  <conditionalFormatting sqref="E38">
    <cfRule type="cellIs" dxfId="5" priority="9" operator="equal">
      <formula>"NOT OK"</formula>
    </cfRule>
    <cfRule type="cellIs" dxfId="4" priority="10" operator="equal">
      <formula>"OK"</formula>
    </cfRule>
  </conditionalFormatting>
  <conditionalFormatting sqref="C38">
    <cfRule type="cellIs" dxfId="3" priority="3" operator="equal">
      <formula>"NOT OK"</formula>
    </cfRule>
    <cfRule type="cellIs" dxfId="2" priority="4" operator="equal">
      <formula>"OK"</formula>
    </cfRule>
  </conditionalFormatting>
  <conditionalFormatting sqref="F38">
    <cfRule type="cellIs" dxfId="1" priority="1" operator="equal">
      <formula>"NOT OK"</formula>
    </cfRule>
    <cfRule type="cellIs" dxfId="0" priority="2" operator="equal">
      <formula>"OK"</formula>
    </cfRule>
  </conditionalFormatting>
  <hyperlinks>
    <hyperlink ref="A2" location="'Financial supplement&gt;&gt;&gt;'!A1" display="INDEX" xr:uid="{EAE12798-063E-4B7F-BD9D-0865C96A1E21}"/>
  </hyperlinks>
  <pageMargins left="0.7" right="0.7" top="0.75" bottom="0.75" header="0.3" footer="0.3"/>
  <pageSetup paperSize="9" orientation="portrait" r:id="rId1"/>
  <ignoredErrors>
    <ignoredError sqref="C19:D21 C6:D16 C22:D24 E19:E21 E6:E18 E22:E24 F6:F24" formulaRange="1"/>
    <ignoredError sqref="D3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dimension ref="A1:I26"/>
  <sheetViews>
    <sheetView showGridLines="0" zoomScaleNormal="100" workbookViewId="0"/>
  </sheetViews>
  <sheetFormatPr baseColWidth="10" defaultColWidth="11.42578125" defaultRowHeight="15" x14ac:dyDescent="0.25"/>
  <cols>
    <col min="1" max="1" width="10.7109375" style="1" customWidth="1"/>
    <col min="2" max="2" width="73.42578125" style="1" bestFit="1" customWidth="1" collapsed="1"/>
    <col min="3" max="5" width="12.7109375" style="1" customWidth="1"/>
    <col min="6" max="7" width="13.28515625" style="1" customWidth="1"/>
    <col min="8" max="16384" width="11.42578125" style="1"/>
  </cols>
  <sheetData>
    <row r="1" spans="1:7" ht="16.5" customHeight="1" x14ac:dyDescent="0.25"/>
    <row r="2" spans="1:7" ht="18.75" customHeight="1" thickBot="1" x14ac:dyDescent="0.3">
      <c r="A2" s="137" t="s">
        <v>114</v>
      </c>
      <c r="B2" s="29" t="s">
        <v>120</v>
      </c>
      <c r="C2" s="29"/>
      <c r="D2" s="29"/>
      <c r="E2" s="29"/>
      <c r="F2" s="29"/>
      <c r="G2" s="29"/>
    </row>
    <row r="3" spans="1:7" ht="15.75" x14ac:dyDescent="0.25">
      <c r="A3" s="41"/>
      <c r="B3" s="42"/>
      <c r="C3" s="43"/>
      <c r="D3" s="42"/>
      <c r="E3" s="43"/>
      <c r="F3" s="43"/>
      <c r="G3" s="43"/>
    </row>
    <row r="4" spans="1:7" ht="16.5" thickBot="1" x14ac:dyDescent="0.3">
      <c r="A4" s="41"/>
      <c r="B4" s="48"/>
      <c r="C4" s="25" t="s">
        <v>45</v>
      </c>
      <c r="D4" s="25" t="s">
        <v>17</v>
      </c>
      <c r="E4" s="25" t="s">
        <v>18</v>
      </c>
      <c r="F4" s="25" t="s">
        <v>57</v>
      </c>
      <c r="G4" s="36" t="s">
        <v>46</v>
      </c>
    </row>
    <row r="5" spans="1:7" ht="15.75" x14ac:dyDescent="0.25">
      <c r="A5" s="41"/>
      <c r="B5" s="42" t="s">
        <v>69</v>
      </c>
      <c r="C5" s="22">
        <v>853119</v>
      </c>
      <c r="D5" s="22">
        <v>891295</v>
      </c>
      <c r="E5" s="22">
        <v>898614</v>
      </c>
      <c r="F5" s="22">
        <v>451910</v>
      </c>
      <c r="G5" s="46">
        <v>456465</v>
      </c>
    </row>
    <row r="6" spans="1:7" ht="15.75" x14ac:dyDescent="0.25">
      <c r="A6" s="41"/>
      <c r="B6" s="42" t="s">
        <v>70</v>
      </c>
      <c r="C6" s="22">
        <v>816289</v>
      </c>
      <c r="D6" s="22">
        <v>854762</v>
      </c>
      <c r="E6" s="22">
        <v>878177</v>
      </c>
      <c r="F6" s="22">
        <v>434400</v>
      </c>
      <c r="G6" s="46">
        <v>435993</v>
      </c>
    </row>
    <row r="7" spans="1:7" ht="15.75" x14ac:dyDescent="0.25">
      <c r="A7" s="41"/>
      <c r="B7" s="110" t="s">
        <v>9</v>
      </c>
      <c r="C7" s="45">
        <v>-528029</v>
      </c>
      <c r="D7" s="45">
        <v>-580987</v>
      </c>
      <c r="E7" s="45">
        <v>-540064</v>
      </c>
      <c r="F7" s="45">
        <v>-279624</v>
      </c>
      <c r="G7" s="47">
        <v>-284885</v>
      </c>
    </row>
    <row r="8" spans="1:7" ht="15.75" x14ac:dyDescent="0.25">
      <c r="A8" s="41"/>
      <c r="B8" s="110" t="s">
        <v>10</v>
      </c>
      <c r="C8" s="45">
        <v>-196176</v>
      </c>
      <c r="D8" s="45">
        <v>-199919</v>
      </c>
      <c r="E8" s="45">
        <v>-209603</v>
      </c>
      <c r="F8" s="45">
        <v>-101365</v>
      </c>
      <c r="G8" s="47">
        <v>-97485</v>
      </c>
    </row>
    <row r="9" spans="1:7" ht="15.75" x14ac:dyDescent="0.25">
      <c r="A9" s="41"/>
      <c r="B9" s="110" t="s">
        <v>11</v>
      </c>
      <c r="C9" s="45">
        <v>25728</v>
      </c>
      <c r="D9" s="45">
        <v>29794</v>
      </c>
      <c r="E9" s="45">
        <v>17429</v>
      </c>
      <c r="F9" s="45">
        <v>8623</v>
      </c>
      <c r="G9" s="47">
        <v>9516</v>
      </c>
    </row>
    <row r="10" spans="1:7" ht="15.75" x14ac:dyDescent="0.25">
      <c r="A10" s="41"/>
      <c r="B10" s="42" t="s">
        <v>0</v>
      </c>
      <c r="C10" s="22">
        <f>SUM(C6:C9)</f>
        <v>117812</v>
      </c>
      <c r="D10" s="22">
        <f>SUM(D6:D9)</f>
        <v>103650</v>
      </c>
      <c r="E10" s="22">
        <f>SUM(E6:E9)</f>
        <v>145939</v>
      </c>
      <c r="F10" s="22">
        <f>SUM(F6:F9)</f>
        <v>62034</v>
      </c>
      <c r="G10" s="46">
        <f>SUM(G6:G9)</f>
        <v>63139</v>
      </c>
    </row>
    <row r="11" spans="1:7" ht="15.75" x14ac:dyDescent="0.25">
      <c r="A11" s="41"/>
      <c r="B11" s="110" t="s">
        <v>89</v>
      </c>
      <c r="C11" s="45">
        <v>52021</v>
      </c>
      <c r="D11" s="45">
        <v>70687</v>
      </c>
      <c r="E11" s="45">
        <v>76613</v>
      </c>
      <c r="F11" s="45">
        <v>34974</v>
      </c>
      <c r="G11" s="47">
        <v>22769</v>
      </c>
    </row>
    <row r="12" spans="1:7" ht="15.75" x14ac:dyDescent="0.25">
      <c r="A12" s="41"/>
      <c r="B12" s="110" t="s">
        <v>90</v>
      </c>
      <c r="C12" s="45">
        <v>-18547</v>
      </c>
      <c r="D12" s="45">
        <v>-39117</v>
      </c>
      <c r="E12" s="45">
        <v>-47360</v>
      </c>
      <c r="F12" s="45">
        <v>-21932</v>
      </c>
      <c r="G12" s="47">
        <v>-9974</v>
      </c>
    </row>
    <row r="13" spans="1:7" ht="15.75" x14ac:dyDescent="0.25">
      <c r="A13" s="41"/>
      <c r="B13" s="42" t="s">
        <v>91</v>
      </c>
      <c r="C13" s="22">
        <f>SUM(C11:C12)</f>
        <v>33474</v>
      </c>
      <c r="D13" s="22">
        <f t="shared" ref="D13" si="0">SUM(D11:D12)</f>
        <v>31570</v>
      </c>
      <c r="E13" s="22">
        <f t="shared" ref="E13:G13" si="1">SUM(E11:E12)</f>
        <v>29253</v>
      </c>
      <c r="F13" s="22">
        <f t="shared" si="1"/>
        <v>13042</v>
      </c>
      <c r="G13" s="46">
        <f t="shared" si="1"/>
        <v>12795</v>
      </c>
    </row>
    <row r="14" spans="1:7" ht="15.75" x14ac:dyDescent="0.25">
      <c r="A14" s="41"/>
      <c r="B14" s="42" t="s">
        <v>92</v>
      </c>
      <c r="C14" s="22">
        <f>SUM(C13,C10)</f>
        <v>151286</v>
      </c>
      <c r="D14" s="22">
        <f t="shared" ref="D14" si="2">SUM(D13,D10)</f>
        <v>135220</v>
      </c>
      <c r="E14" s="22">
        <f t="shared" ref="E14:G14" si="3">SUM(E13,E10)</f>
        <v>175192</v>
      </c>
      <c r="F14" s="22">
        <f t="shared" si="3"/>
        <v>75076</v>
      </c>
      <c r="G14" s="46">
        <f t="shared" si="3"/>
        <v>75934</v>
      </c>
    </row>
    <row r="15" spans="1:7" ht="15.75" x14ac:dyDescent="0.25">
      <c r="A15" s="41"/>
      <c r="B15" s="110" t="s">
        <v>93</v>
      </c>
      <c r="C15" s="45">
        <v>4677</v>
      </c>
      <c r="D15" s="45">
        <v>7617</v>
      </c>
      <c r="E15" s="45">
        <v>4432</v>
      </c>
      <c r="F15" s="45">
        <v>3444</v>
      </c>
      <c r="G15" s="47">
        <v>1684</v>
      </c>
    </row>
    <row r="16" spans="1:7" ht="15.75" x14ac:dyDescent="0.25">
      <c r="A16" s="41"/>
      <c r="B16" s="42" t="s">
        <v>58</v>
      </c>
      <c r="C16" s="22">
        <f>SUM(C14:C15)</f>
        <v>155963</v>
      </c>
      <c r="D16" s="22">
        <f t="shared" ref="D16" si="4">SUM(D14:D15)</f>
        <v>142837</v>
      </c>
      <c r="E16" s="22">
        <f t="shared" ref="E16:G16" si="5">SUM(E14:E15)</f>
        <v>179624</v>
      </c>
      <c r="F16" s="22">
        <f t="shared" si="5"/>
        <v>78520</v>
      </c>
      <c r="G16" s="46">
        <f t="shared" si="5"/>
        <v>77618</v>
      </c>
    </row>
    <row r="17" spans="1:9" ht="16.5" thickBot="1" x14ac:dyDescent="0.3">
      <c r="A17" s="41"/>
      <c r="B17" s="110" t="s">
        <v>59</v>
      </c>
      <c r="C17" s="45">
        <v>-38752</v>
      </c>
      <c r="D17" s="45">
        <v>-35542</v>
      </c>
      <c r="E17" s="45">
        <v>-44778</v>
      </c>
      <c r="F17" s="45">
        <v>-19631</v>
      </c>
      <c r="G17" s="47">
        <v>-19408</v>
      </c>
    </row>
    <row r="18" spans="1:9" ht="16.5" thickBot="1" x14ac:dyDescent="0.3">
      <c r="A18" s="41"/>
      <c r="B18" s="49" t="s">
        <v>60</v>
      </c>
      <c r="C18" s="27">
        <f>SUM(C16:C17)</f>
        <v>117211</v>
      </c>
      <c r="D18" s="27">
        <f t="shared" ref="D18" si="6">SUM(D16:D17)</f>
        <v>107295</v>
      </c>
      <c r="E18" s="27">
        <f t="shared" ref="E18:F18" si="7">SUM(E16:E17)</f>
        <v>134846</v>
      </c>
      <c r="F18" s="27">
        <f t="shared" si="7"/>
        <v>58889</v>
      </c>
      <c r="G18" s="39">
        <f>SUM(G16:G17)</f>
        <v>58210</v>
      </c>
    </row>
    <row r="19" spans="1:9" s="5" customFormat="1" ht="9" customHeight="1" x14ac:dyDescent="0.25">
      <c r="C19" s="42"/>
      <c r="D19" s="90"/>
      <c r="E19" s="90"/>
      <c r="F19" s="90"/>
      <c r="G19" s="90"/>
      <c r="H19" s="90"/>
      <c r="I19" s="91"/>
    </row>
    <row r="20" spans="1:9" s="5" customFormat="1" x14ac:dyDescent="0.25">
      <c r="C20" s="44"/>
      <c r="D20" s="92"/>
      <c r="E20" s="92"/>
      <c r="F20" s="92"/>
      <c r="G20" s="54" t="s">
        <v>102</v>
      </c>
      <c r="H20" s="92"/>
    </row>
    <row r="21" spans="1:9" x14ac:dyDescent="0.25">
      <c r="B21" s="4"/>
      <c r="C21" s="2"/>
      <c r="D21" s="3"/>
      <c r="E21" s="2"/>
      <c r="F21" s="2"/>
      <c r="G21" s="2"/>
    </row>
    <row r="22" spans="1:9" x14ac:dyDescent="0.25">
      <c r="F22" s="2"/>
      <c r="G22" s="2"/>
    </row>
    <row r="23" spans="1:9" ht="15.75" thickBot="1" x14ac:dyDescent="0.3">
      <c r="B23" s="48"/>
      <c r="C23" s="82" t="s">
        <v>45</v>
      </c>
      <c r="D23" s="82" t="s">
        <v>17</v>
      </c>
      <c r="E23" s="82" t="s">
        <v>18</v>
      </c>
      <c r="F23" s="83" t="s">
        <v>57</v>
      </c>
      <c r="G23" s="84" t="s">
        <v>46</v>
      </c>
    </row>
    <row r="24" spans="1:9" x14ac:dyDescent="0.25">
      <c r="B24" s="20" t="s">
        <v>13</v>
      </c>
      <c r="C24" s="91">
        <f>-C7/C6</f>
        <v>0.64686526463054139</v>
      </c>
      <c r="D24" s="91">
        <f t="shared" ref="D24:G24" si="8">-D7/D6</f>
        <v>0.67970616382104021</v>
      </c>
      <c r="E24" s="91">
        <f t="shared" si="8"/>
        <v>0.61498308427572124</v>
      </c>
      <c r="F24" s="93">
        <f t="shared" si="8"/>
        <v>0.64370165745856356</v>
      </c>
      <c r="G24" s="94">
        <f t="shared" si="8"/>
        <v>0.65341645393389347</v>
      </c>
    </row>
    <row r="25" spans="1:9" ht="15.75" thickBot="1" x14ac:dyDescent="0.3">
      <c r="B25" s="20" t="s">
        <v>14</v>
      </c>
      <c r="C25" s="91">
        <f>-(C8+C9)/C6</f>
        <v>0.20880839996618844</v>
      </c>
      <c r="D25" s="91">
        <f t="shared" ref="D25:G25" si="9">-(D8+D9)/D6</f>
        <v>0.19903201124991518</v>
      </c>
      <c r="E25" s="91">
        <f t="shared" si="9"/>
        <v>0.21883287765450474</v>
      </c>
      <c r="F25" s="93">
        <f t="shared" si="9"/>
        <v>0.21349447513812156</v>
      </c>
      <c r="G25" s="94">
        <f t="shared" si="9"/>
        <v>0.20176700084634386</v>
      </c>
    </row>
    <row r="26" spans="1:9" ht="15.75" thickBot="1" x14ac:dyDescent="0.3">
      <c r="B26" s="49" t="s">
        <v>1</v>
      </c>
      <c r="C26" s="95">
        <f>-(C7+C8+C9)/C6</f>
        <v>0.85567366459672989</v>
      </c>
      <c r="D26" s="95">
        <f t="shared" ref="D26:G26" si="10">-(D7+D8+D9)/D6</f>
        <v>0.87873817507095542</v>
      </c>
      <c r="E26" s="95">
        <f t="shared" si="10"/>
        <v>0.83381596193022589</v>
      </c>
      <c r="F26" s="96">
        <f t="shared" si="10"/>
        <v>0.85719613259668503</v>
      </c>
      <c r="G26" s="97">
        <f t="shared" si="10"/>
        <v>0.85518345478023727</v>
      </c>
    </row>
  </sheetData>
  <hyperlinks>
    <hyperlink ref="A2" location="'Financial supplement&gt;&gt;&gt;'!A1" display="INDEX" xr:uid="{050B2492-71B7-4ACD-B3AC-5527F1CC84E5}"/>
  </hyperlinks>
  <pageMargins left="0.7" right="0.7" top="0.75" bottom="0.75" header="0.3" footer="0.3"/>
  <pageSetup paperSize="9" orientation="portrait" r:id="rId1"/>
  <ignoredErrors>
    <ignoredError sqref="C10:G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dimension ref="A1:V12"/>
  <sheetViews>
    <sheetView showGridLines="0" zoomScaleNormal="100" workbookViewId="0"/>
  </sheetViews>
  <sheetFormatPr baseColWidth="10" defaultColWidth="11.42578125" defaultRowHeight="15" x14ac:dyDescent="0.25"/>
  <cols>
    <col min="1" max="1" width="10.7109375" style="5" customWidth="1"/>
    <col min="2" max="2" width="23.42578125" style="5" bestFit="1" customWidth="1"/>
    <col min="3" max="8" width="11.28515625" style="5" customWidth="1"/>
    <col min="9" max="9" width="1.5703125" style="11" customWidth="1"/>
    <col min="10" max="15" width="11.28515625" style="5" customWidth="1"/>
    <col min="16" max="16" width="1.5703125" style="11" customWidth="1"/>
    <col min="17" max="22" width="11.28515625" style="5" customWidth="1"/>
    <col min="23" max="16384" width="11.42578125" style="5"/>
  </cols>
  <sheetData>
    <row r="1" spans="1:22" ht="16.5" customHeight="1" x14ac:dyDescent="0.25"/>
    <row r="2" spans="1:22" ht="18.75" customHeight="1" thickBot="1" x14ac:dyDescent="0.3">
      <c r="A2" s="137" t="s">
        <v>114</v>
      </c>
      <c r="B2" s="29" t="s">
        <v>121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x14ac:dyDescent="0.25">
      <c r="A3" s="51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1:22" x14ac:dyDescent="0.25">
      <c r="A4" s="51"/>
      <c r="B4" s="60"/>
      <c r="C4" s="155" t="s">
        <v>64</v>
      </c>
      <c r="D4" s="155"/>
      <c r="E4" s="155"/>
      <c r="F4" s="155"/>
      <c r="G4" s="155"/>
      <c r="H4" s="155"/>
      <c r="I4" s="52"/>
      <c r="J4" s="155" t="s">
        <v>0</v>
      </c>
      <c r="K4" s="155"/>
      <c r="L4" s="155"/>
      <c r="M4" s="155"/>
      <c r="N4" s="155"/>
      <c r="O4" s="155"/>
      <c r="P4" s="52"/>
      <c r="Q4" s="155" t="s">
        <v>1</v>
      </c>
      <c r="R4" s="155"/>
      <c r="S4" s="155"/>
      <c r="T4" s="155"/>
      <c r="U4" s="155"/>
      <c r="V4" s="155"/>
    </row>
    <row r="5" spans="1:22" ht="15.75" thickBot="1" x14ac:dyDescent="0.3">
      <c r="A5" s="51"/>
      <c r="B5" s="48"/>
      <c r="C5" s="70" t="s">
        <v>45</v>
      </c>
      <c r="D5" s="70" t="s">
        <v>17</v>
      </c>
      <c r="E5" s="70" t="s">
        <v>18</v>
      </c>
      <c r="F5" s="70" t="s">
        <v>57</v>
      </c>
      <c r="G5" s="71" t="s">
        <v>46</v>
      </c>
      <c r="H5" s="72" t="s">
        <v>2</v>
      </c>
      <c r="I5" s="73"/>
      <c r="J5" s="70" t="s">
        <v>45</v>
      </c>
      <c r="K5" s="70" t="s">
        <v>17</v>
      </c>
      <c r="L5" s="70" t="s">
        <v>18</v>
      </c>
      <c r="M5" s="70" t="s">
        <v>57</v>
      </c>
      <c r="N5" s="71" t="s">
        <v>46</v>
      </c>
      <c r="O5" s="72" t="s">
        <v>2</v>
      </c>
      <c r="P5" s="73"/>
      <c r="Q5" s="70" t="s">
        <v>45</v>
      </c>
      <c r="R5" s="70" t="s">
        <v>17</v>
      </c>
      <c r="S5" s="70" t="s">
        <v>18</v>
      </c>
      <c r="T5" s="70" t="s">
        <v>57</v>
      </c>
      <c r="U5" s="71" t="s">
        <v>46</v>
      </c>
      <c r="V5" s="72" t="s">
        <v>2</v>
      </c>
    </row>
    <row r="6" spans="1:22" x14ac:dyDescent="0.25">
      <c r="A6" s="51"/>
      <c r="B6" s="20" t="s">
        <v>3</v>
      </c>
      <c r="C6" s="74">
        <v>741.17803300000003</v>
      </c>
      <c r="D6" s="74">
        <v>761.15829799999995</v>
      </c>
      <c r="E6" s="74">
        <v>754.65636600000005</v>
      </c>
      <c r="F6" s="74">
        <v>377.49058504999999</v>
      </c>
      <c r="G6" s="75">
        <v>373.70042211000003</v>
      </c>
      <c r="H6" s="63">
        <f>+G6/F6-1</f>
        <v>-1.0040417139139834E-2</v>
      </c>
      <c r="I6" s="63"/>
      <c r="J6" s="74">
        <v>114.974</v>
      </c>
      <c r="K6" s="74">
        <f>106.533</f>
        <v>106.533</v>
      </c>
      <c r="L6" s="74">
        <v>146.48099999999999</v>
      </c>
      <c r="M6" s="74">
        <v>58.350999999999999</v>
      </c>
      <c r="N6" s="75">
        <v>60.59</v>
      </c>
      <c r="O6" s="63">
        <f>+N6/M6-1</f>
        <v>3.8371236139912002E-2</v>
      </c>
      <c r="P6" s="63"/>
      <c r="Q6" s="76">
        <v>0.83998519180371911</v>
      </c>
      <c r="R6" s="76">
        <v>0.85763501441249534</v>
      </c>
      <c r="S6" s="76">
        <v>0.80536802173783062</v>
      </c>
      <c r="T6" s="76">
        <v>0.84404485621970904</v>
      </c>
      <c r="U6" s="77">
        <v>0.83659919203033395</v>
      </c>
      <c r="V6" s="63">
        <f>+U6/T6-1</f>
        <v>-8.8214081686636137E-3</v>
      </c>
    </row>
    <row r="7" spans="1:22" x14ac:dyDescent="0.25">
      <c r="A7" s="51"/>
      <c r="B7" s="20" t="s">
        <v>4</v>
      </c>
      <c r="C7" s="74">
        <v>100.691076</v>
      </c>
      <c r="D7" s="74">
        <v>111.356549</v>
      </c>
      <c r="E7" s="74">
        <v>120.653628</v>
      </c>
      <c r="F7" s="74">
        <v>59.705956970000003</v>
      </c>
      <c r="G7" s="75">
        <v>64.779205790000006</v>
      </c>
      <c r="H7" s="63">
        <f t="shared" ref="H7:H10" si="0">+G7/F7-1</f>
        <v>8.4970563700186963E-2</v>
      </c>
      <c r="I7" s="63"/>
      <c r="J7" s="74">
        <v>8.6940000000000008</v>
      </c>
      <c r="K7" s="74">
        <v>12.347</v>
      </c>
      <c r="L7" s="74">
        <v>6.6840000000000002</v>
      </c>
      <c r="M7" s="74">
        <v>6.0970000000000004</v>
      </c>
      <c r="N7" s="75">
        <v>5.09</v>
      </c>
      <c r="O7" s="63">
        <f t="shared" ref="O7:O10" si="1">+N7/M7-1</f>
        <v>-0.16516319501394139</v>
      </c>
      <c r="P7" s="63"/>
      <c r="Q7" s="76">
        <v>0.90591520031166817</v>
      </c>
      <c r="R7" s="76">
        <v>0.87972920319501269</v>
      </c>
      <c r="S7" s="76">
        <v>0.94007853262331231</v>
      </c>
      <c r="T7" s="76">
        <v>0.88768668779024995</v>
      </c>
      <c r="U7" s="77">
        <v>0.91249183371729181</v>
      </c>
      <c r="V7" s="63">
        <f t="shared" ref="V7:V10" si="2">+U7/T7-1</f>
        <v>2.7943582198793893E-2</v>
      </c>
    </row>
    <row r="8" spans="1:22" x14ac:dyDescent="0.25">
      <c r="A8" s="51"/>
      <c r="B8" s="20" t="s">
        <v>5</v>
      </c>
      <c r="C8" s="74">
        <v>7.5179999999999998</v>
      </c>
      <c r="D8" s="74">
        <v>15.744</v>
      </c>
      <c r="E8" s="74">
        <v>21.826000000000001</v>
      </c>
      <c r="F8" s="74">
        <v>13.25764721</v>
      </c>
      <c r="G8" s="75">
        <v>16.622485779999998</v>
      </c>
      <c r="H8" s="63">
        <f t="shared" si="0"/>
        <v>0.25380359853458478</v>
      </c>
      <c r="I8" s="63"/>
      <c r="J8" s="74">
        <v>-7.0419999999999998</v>
      </c>
      <c r="K8" s="74">
        <v>-16.346</v>
      </c>
      <c r="L8" s="74">
        <v>-7.89</v>
      </c>
      <c r="M8" s="74">
        <v>-2.6579999999999999</v>
      </c>
      <c r="N8" s="75">
        <v>-3.0059999999999998</v>
      </c>
      <c r="O8" s="63">
        <f t="shared" si="1"/>
        <v>0.13092550790067725</v>
      </c>
      <c r="P8" s="63"/>
      <c r="Q8" s="76">
        <v>4.2799254774103401</v>
      </c>
      <c r="R8" s="76">
        <v>22.852941176470587</v>
      </c>
      <c r="S8" s="76">
        <v>1.656405990016639</v>
      </c>
      <c r="T8" s="76">
        <v>1.5441852187619376</v>
      </c>
      <c r="U8" s="77">
        <v>1.4739829706717125</v>
      </c>
      <c r="V8" s="63">
        <f t="shared" si="2"/>
        <v>-4.5462323584803066E-2</v>
      </c>
    </row>
    <row r="9" spans="1:22" ht="15.75" thickBot="1" x14ac:dyDescent="0.3">
      <c r="A9" s="51"/>
      <c r="B9" s="20" t="s">
        <v>6</v>
      </c>
      <c r="C9" s="74">
        <v>3.7330000000000001</v>
      </c>
      <c r="D9" s="74">
        <v>3.036</v>
      </c>
      <c r="E9" s="74">
        <v>1.478</v>
      </c>
      <c r="F9" s="74">
        <v>1.45598549</v>
      </c>
      <c r="G9" s="75">
        <v>1.3632525899999999</v>
      </c>
      <c r="H9" s="63">
        <f t="shared" si="0"/>
        <v>-6.3690813292377024E-2</v>
      </c>
      <c r="I9" s="63"/>
      <c r="J9" s="74">
        <v>1.1859999999999999</v>
      </c>
      <c r="K9" s="74">
        <v>1.1160000000000001</v>
      </c>
      <c r="L9" s="74">
        <v>0.66400000000000003</v>
      </c>
      <c r="M9" s="74">
        <v>0.248</v>
      </c>
      <c r="N9" s="75">
        <v>0.46500000000000002</v>
      </c>
      <c r="O9" s="63">
        <f t="shared" si="1"/>
        <v>0.87500000000000022</v>
      </c>
      <c r="P9" s="63"/>
      <c r="Q9" s="76">
        <v>0.63110419906687398</v>
      </c>
      <c r="R9" s="76">
        <v>0.63316912972085382</v>
      </c>
      <c r="S9" s="76">
        <v>0.66899302093718838</v>
      </c>
      <c r="T9" s="76">
        <v>0.76975401576572056</v>
      </c>
      <c r="U9" s="77">
        <v>0.31516936671575846</v>
      </c>
      <c r="V9" s="63">
        <f t="shared" si="2"/>
        <v>-0.5905583338824929</v>
      </c>
    </row>
    <row r="10" spans="1:22" ht="15.75" thickBot="1" x14ac:dyDescent="0.3">
      <c r="A10" s="51"/>
      <c r="B10" s="49" t="s">
        <v>7</v>
      </c>
      <c r="C10" s="78">
        <f>SUM(C6:C9)</f>
        <v>853.12010899999996</v>
      </c>
      <c r="D10" s="78">
        <f>SUM(D6:D9)</f>
        <v>891.29484699999989</v>
      </c>
      <c r="E10" s="78">
        <f>SUM(E6:E9)</f>
        <v>898.61399400000005</v>
      </c>
      <c r="F10" s="78">
        <f>SUM(F6:F9)</f>
        <v>451.91017471999999</v>
      </c>
      <c r="G10" s="79">
        <f>SUM(G6:G9)</f>
        <v>456.46536627</v>
      </c>
      <c r="H10" s="68">
        <f t="shared" si="0"/>
        <v>1.0079860567030474E-2</v>
      </c>
      <c r="I10" s="62"/>
      <c r="J10" s="78">
        <f>SUM(J6:J9)</f>
        <v>117.81200000000001</v>
      </c>
      <c r="K10" s="78">
        <f>SUM(K6:K9)</f>
        <v>103.64999999999999</v>
      </c>
      <c r="L10" s="78">
        <f>SUM(L6:L9)</f>
        <v>145.93899999999999</v>
      </c>
      <c r="M10" s="78">
        <f>SUM(M6:M9)</f>
        <v>62.03799999999999</v>
      </c>
      <c r="N10" s="79">
        <f>SUM(N6:N9)</f>
        <v>63.13900000000001</v>
      </c>
      <c r="O10" s="68">
        <f t="shared" si="1"/>
        <v>1.7747187207840742E-2</v>
      </c>
      <c r="P10" s="62"/>
      <c r="Q10" s="80">
        <v>0.85567366459672978</v>
      </c>
      <c r="R10" s="80">
        <v>0.87873817507095542</v>
      </c>
      <c r="S10" s="80">
        <v>0.833815961930226</v>
      </c>
      <c r="T10" s="80">
        <v>0.85718813439399422</v>
      </c>
      <c r="U10" s="81">
        <v>0.85518345478023727</v>
      </c>
      <c r="V10" s="68">
        <f t="shared" si="2"/>
        <v>-2.3386693461106001E-3</v>
      </c>
    </row>
    <row r="11" spans="1:22" ht="9" customHeight="1" x14ac:dyDescent="0.25">
      <c r="A11" s="51"/>
      <c r="B11" s="42"/>
      <c r="C11" s="55"/>
      <c r="D11" s="55"/>
      <c r="E11" s="55"/>
      <c r="F11" s="55"/>
      <c r="G11" s="55"/>
      <c r="H11" s="56"/>
      <c r="I11" s="56"/>
      <c r="J11" s="55"/>
      <c r="K11" s="55"/>
      <c r="L11" s="55"/>
      <c r="M11" s="55"/>
      <c r="N11" s="55"/>
      <c r="O11" s="56"/>
      <c r="P11" s="56"/>
      <c r="Q11" s="55"/>
      <c r="R11" s="55"/>
      <c r="S11" s="55"/>
      <c r="T11" s="55"/>
      <c r="U11" s="55"/>
      <c r="V11" s="56"/>
    </row>
    <row r="12" spans="1:22" x14ac:dyDescent="0.25">
      <c r="A12" s="51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54" t="s">
        <v>65</v>
      </c>
    </row>
  </sheetData>
  <mergeCells count="3">
    <mergeCell ref="Q4:V4"/>
    <mergeCell ref="C4:H4"/>
    <mergeCell ref="J4:O4"/>
  </mergeCells>
  <hyperlinks>
    <hyperlink ref="A2" location="'Financial supplement&gt;&gt;&gt;'!A1" display="INDEX" xr:uid="{8E88C0D3-649A-4A2F-88B7-2077FCB30B02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dimension ref="A1:H20"/>
  <sheetViews>
    <sheetView showGridLines="0" zoomScaleNormal="100" workbookViewId="0"/>
  </sheetViews>
  <sheetFormatPr baseColWidth="10" defaultColWidth="10.85546875" defaultRowHeight="12.75" x14ac:dyDescent="0.2"/>
  <cols>
    <col min="1" max="1" width="10.7109375" style="9" customWidth="1"/>
    <col min="2" max="2" width="48" style="9" bestFit="1" customWidth="1"/>
    <col min="3" max="8" width="11" style="9" customWidth="1"/>
    <col min="9" max="16384" width="10.85546875" style="9"/>
  </cols>
  <sheetData>
    <row r="1" spans="1:8" ht="16.5" customHeight="1" x14ac:dyDescent="0.2"/>
    <row r="2" spans="1:8" ht="18.75" customHeight="1" thickBot="1" x14ac:dyDescent="0.25">
      <c r="A2" s="137" t="s">
        <v>114</v>
      </c>
      <c r="B2" s="29" t="s">
        <v>8</v>
      </c>
      <c r="C2" s="29"/>
      <c r="D2" s="29"/>
      <c r="E2" s="29"/>
      <c r="F2" s="29"/>
      <c r="G2" s="29"/>
      <c r="H2" s="29"/>
    </row>
    <row r="4" spans="1:8" s="5" customFormat="1" ht="15.75" thickBot="1" x14ac:dyDescent="0.3">
      <c r="B4" s="48"/>
      <c r="C4" s="82" t="s">
        <v>45</v>
      </c>
      <c r="D4" s="82" t="s">
        <v>17</v>
      </c>
      <c r="E4" s="82" t="s">
        <v>18</v>
      </c>
      <c r="F4" s="83" t="s">
        <v>57</v>
      </c>
      <c r="G4" s="84" t="s">
        <v>46</v>
      </c>
      <c r="H4" s="66" t="s">
        <v>2</v>
      </c>
    </row>
    <row r="5" spans="1:8" s="5" customFormat="1" ht="15" x14ac:dyDescent="0.25">
      <c r="B5" s="42" t="s">
        <v>69</v>
      </c>
      <c r="C5" s="85">
        <v>741.17803300000003</v>
      </c>
      <c r="D5" s="85">
        <v>761.15829799999995</v>
      </c>
      <c r="E5" s="85">
        <v>754.65636600000005</v>
      </c>
      <c r="F5" s="86">
        <v>377.49058505000005</v>
      </c>
      <c r="G5" s="87">
        <v>373.70042211000003</v>
      </c>
      <c r="H5" s="62">
        <f>+G5/F5-1</f>
        <v>-1.0040417139140057E-2</v>
      </c>
    </row>
    <row r="6" spans="1:8" s="5" customFormat="1" ht="15" x14ac:dyDescent="0.25">
      <c r="B6" s="42" t="s">
        <v>70</v>
      </c>
      <c r="C6" s="85">
        <v>718.52099999999996</v>
      </c>
      <c r="D6" s="85">
        <v>748.30899999999997</v>
      </c>
      <c r="E6" s="85">
        <v>752.60500000000002</v>
      </c>
      <c r="F6" s="86">
        <v>374.15499999999997</v>
      </c>
      <c r="G6" s="87">
        <v>370.80599999999998</v>
      </c>
      <c r="H6" s="62">
        <f t="shared" ref="H6:H10" si="0">+G6/F6-1</f>
        <v>-8.9508358835241886E-3</v>
      </c>
    </row>
    <row r="7" spans="1:8" s="5" customFormat="1" ht="15" x14ac:dyDescent="0.25">
      <c r="B7" s="20" t="s">
        <v>9</v>
      </c>
      <c r="C7" s="74">
        <v>-476.72500000000002</v>
      </c>
      <c r="D7" s="74">
        <v>-519.66600000000005</v>
      </c>
      <c r="E7" s="74">
        <v>-465.38200000000001</v>
      </c>
      <c r="F7" s="88">
        <v>-245.65</v>
      </c>
      <c r="G7" s="75">
        <v>-244.74</v>
      </c>
      <c r="H7" s="63">
        <f t="shared" si="0"/>
        <v>-3.7044575615713393E-3</v>
      </c>
    </row>
    <row r="8" spans="1:8" s="5" customFormat="1" ht="15" x14ac:dyDescent="0.25">
      <c r="B8" s="20" t="s">
        <v>10</v>
      </c>
      <c r="C8" s="74">
        <v>-154.001</v>
      </c>
      <c r="D8" s="74">
        <v>-152.74799999999999</v>
      </c>
      <c r="E8" s="74">
        <v>-159.46799999999999</v>
      </c>
      <c r="F8" s="88">
        <v>-79.436999999999998</v>
      </c>
      <c r="G8" s="75">
        <v>-75.358000000000004</v>
      </c>
      <c r="H8" s="63">
        <f t="shared" si="0"/>
        <v>-5.1348867656129893E-2</v>
      </c>
    </row>
    <row r="9" spans="1:8" s="5" customFormat="1" ht="15.75" thickBot="1" x14ac:dyDescent="0.3">
      <c r="B9" s="20" t="s">
        <v>11</v>
      </c>
      <c r="C9" s="74">
        <v>27.178999999999998</v>
      </c>
      <c r="D9" s="74">
        <v>30.638000000000002</v>
      </c>
      <c r="E9" s="74">
        <v>18.725999999999999</v>
      </c>
      <c r="F9" s="88">
        <v>9.2810000000000006</v>
      </c>
      <c r="G9" s="75">
        <v>9.8819999999999997</v>
      </c>
      <c r="H9" s="63">
        <f t="shared" si="0"/>
        <v>6.4755953022303636E-2</v>
      </c>
    </row>
    <row r="10" spans="1:8" s="5" customFormat="1" ht="15.75" thickBot="1" x14ac:dyDescent="0.3">
      <c r="B10" s="49" t="s">
        <v>0</v>
      </c>
      <c r="C10" s="78">
        <f>SUM(C6:C9)</f>
        <v>114.97399999999993</v>
      </c>
      <c r="D10" s="78">
        <f>SUM(D6:D9)</f>
        <v>106.53299999999993</v>
      </c>
      <c r="E10" s="78">
        <f t="shared" ref="E10:G10" si="1">SUM(E6:E9)</f>
        <v>146.48100000000002</v>
      </c>
      <c r="F10" s="89">
        <f t="shared" si="1"/>
        <v>58.348999999999968</v>
      </c>
      <c r="G10" s="79">
        <f t="shared" si="1"/>
        <v>60.589999999999968</v>
      </c>
      <c r="H10" s="68">
        <f t="shared" si="0"/>
        <v>3.8406827880512084E-2</v>
      </c>
    </row>
    <row r="11" spans="1:8" s="5" customFormat="1" ht="9" customHeight="1" x14ac:dyDescent="0.25">
      <c r="B11" s="42"/>
      <c r="C11" s="90"/>
      <c r="D11" s="90"/>
      <c r="E11" s="90"/>
      <c r="F11" s="90"/>
      <c r="G11" s="90"/>
      <c r="H11" s="91"/>
    </row>
    <row r="12" spans="1:8" s="5" customFormat="1" ht="15" x14ac:dyDescent="0.25">
      <c r="B12" s="44"/>
      <c r="C12" s="92"/>
      <c r="D12" s="92"/>
      <c r="E12" s="92"/>
      <c r="F12" s="92"/>
      <c r="G12" s="92"/>
      <c r="H12" s="54" t="s">
        <v>63</v>
      </c>
    </row>
    <row r="13" spans="1:8" s="5" customFormat="1" ht="15" x14ac:dyDescent="0.25">
      <c r="B13" s="44"/>
      <c r="C13" s="92"/>
      <c r="D13" s="92"/>
      <c r="E13" s="92"/>
      <c r="F13" s="92"/>
      <c r="G13" s="92"/>
      <c r="H13" s="92"/>
    </row>
    <row r="14" spans="1:8" s="5" customFormat="1" ht="15" x14ac:dyDescent="0.25">
      <c r="B14" s="42"/>
      <c r="C14" s="90"/>
      <c r="D14" s="90"/>
      <c r="E14" s="90"/>
      <c r="F14" s="90"/>
      <c r="G14" s="90"/>
      <c r="H14" s="91"/>
    </row>
    <row r="15" spans="1:8" s="5" customFormat="1" ht="15.75" thickBot="1" x14ac:dyDescent="0.3">
      <c r="B15" s="48"/>
      <c r="C15" s="82" t="s">
        <v>45</v>
      </c>
      <c r="D15" s="82" t="s">
        <v>17</v>
      </c>
      <c r="E15" s="82" t="s">
        <v>18</v>
      </c>
      <c r="F15" s="83" t="s">
        <v>57</v>
      </c>
      <c r="G15" s="84" t="s">
        <v>46</v>
      </c>
      <c r="H15" s="67" t="s">
        <v>12</v>
      </c>
    </row>
    <row r="16" spans="1:8" s="5" customFormat="1" ht="15" x14ac:dyDescent="0.25">
      <c r="B16" s="20" t="s">
        <v>13</v>
      </c>
      <c r="C16" s="91">
        <f>-C7/C6</f>
        <v>0.66348095601937873</v>
      </c>
      <c r="D16" s="91">
        <f>-D7/D6</f>
        <v>0.69445376174815499</v>
      </c>
      <c r="E16" s="91">
        <f t="shared" ref="E16:G16" si="2">-E7/E6</f>
        <v>0.61836155752353494</v>
      </c>
      <c r="F16" s="93">
        <f t="shared" si="2"/>
        <v>0.65654608384225799</v>
      </c>
      <c r="G16" s="94">
        <f t="shared" si="2"/>
        <v>0.66002168249704707</v>
      </c>
      <c r="H16" s="64">
        <f>(G16-F16)*100</f>
        <v>0.34755986547890805</v>
      </c>
    </row>
    <row r="17" spans="2:8" s="5" customFormat="1" ht="15.75" thickBot="1" x14ac:dyDescent="0.3">
      <c r="B17" s="20" t="s">
        <v>14</v>
      </c>
      <c r="C17" s="91">
        <f>-(C8+C9)/C6</f>
        <v>0.17650423578434035</v>
      </c>
      <c r="D17" s="91">
        <f>-(D8+D9)/D6</f>
        <v>0.16318125266434053</v>
      </c>
      <c r="E17" s="91">
        <f t="shared" ref="E17:G17" si="3">-(E8+E9)/E6</f>
        <v>0.18700646421429568</v>
      </c>
      <c r="F17" s="93">
        <f t="shared" si="3"/>
        <v>0.18750517833518193</v>
      </c>
      <c r="G17" s="94">
        <f t="shared" si="3"/>
        <v>0.17657750953328696</v>
      </c>
      <c r="H17" s="64">
        <f t="shared" ref="H17:H18" si="4">(G17-F17)*100</f>
        <v>-1.092766880189497</v>
      </c>
    </row>
    <row r="18" spans="2:8" s="5" customFormat="1" ht="15.75" thickBot="1" x14ac:dyDescent="0.3">
      <c r="B18" s="49" t="s">
        <v>1</v>
      </c>
      <c r="C18" s="95">
        <f>-(C7+C8+C9)/C6</f>
        <v>0.83998519180371911</v>
      </c>
      <c r="D18" s="95">
        <f>-(D7+D8+D9)/D6</f>
        <v>0.85763501441249534</v>
      </c>
      <c r="E18" s="95">
        <f t="shared" ref="E18:G18" si="5">-(E7+E8+E9)/E6</f>
        <v>0.80536802173783062</v>
      </c>
      <c r="F18" s="96">
        <f t="shared" si="5"/>
        <v>0.84405126217743986</v>
      </c>
      <c r="G18" s="97">
        <f t="shared" si="5"/>
        <v>0.83659919203033395</v>
      </c>
      <c r="H18" s="69">
        <f t="shared" si="4"/>
        <v>-0.74520701471059159</v>
      </c>
    </row>
    <row r="19" spans="2:8" s="5" customFormat="1" ht="15" x14ac:dyDescent="0.25">
      <c r="B19" s="6"/>
      <c r="C19" s="7"/>
      <c r="D19" s="7"/>
      <c r="E19" s="7"/>
      <c r="F19" s="55"/>
      <c r="G19" s="55"/>
      <c r="H19" s="8"/>
    </row>
    <row r="20" spans="2:8" s="5" customFormat="1" ht="15" x14ac:dyDescent="0.25">
      <c r="H20" s="10"/>
    </row>
  </sheetData>
  <hyperlinks>
    <hyperlink ref="A2" location="'Financial supplement&gt;&gt;&gt;'!A1" display="INDEX" xr:uid="{022DCA21-40F8-4DF9-98EF-2258B1411295}"/>
  </hyperlinks>
  <pageMargins left="0.7" right="0.7" top="0.75" bottom="0.75" header="0.3" footer="0.3"/>
  <pageSetup paperSize="9" orientation="portrait" r:id="rId1"/>
  <ignoredErrors>
    <ignoredError sqref="C10:G1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D9583-BE61-4601-BB05-21DCEC7FD5DC}">
  <dimension ref="A1:H20"/>
  <sheetViews>
    <sheetView showGridLines="0" zoomScaleNormal="100" workbookViewId="0"/>
  </sheetViews>
  <sheetFormatPr baseColWidth="10" defaultColWidth="10.85546875" defaultRowHeight="12.75" x14ac:dyDescent="0.2"/>
  <cols>
    <col min="1" max="1" width="10.7109375" style="9" customWidth="1"/>
    <col min="2" max="2" width="48" style="9" bestFit="1" customWidth="1"/>
    <col min="3" max="8" width="11" style="9" customWidth="1"/>
    <col min="9" max="16384" width="10.85546875" style="9"/>
  </cols>
  <sheetData>
    <row r="1" spans="1:8" ht="16.5" customHeight="1" x14ac:dyDescent="0.2"/>
    <row r="2" spans="1:8" ht="18.75" customHeight="1" thickBot="1" x14ac:dyDescent="0.25">
      <c r="A2" s="137" t="s">
        <v>114</v>
      </c>
      <c r="B2" s="29" t="s">
        <v>15</v>
      </c>
      <c r="C2" s="29"/>
      <c r="D2" s="29"/>
      <c r="E2" s="29"/>
      <c r="F2" s="29"/>
      <c r="G2" s="29"/>
      <c r="H2" s="29"/>
    </row>
    <row r="4" spans="1:8" s="5" customFormat="1" ht="15.75" thickBot="1" x14ac:dyDescent="0.3">
      <c r="B4" s="48"/>
      <c r="C4" s="82" t="s">
        <v>45</v>
      </c>
      <c r="D4" s="82" t="s">
        <v>17</v>
      </c>
      <c r="E4" s="82" t="s">
        <v>18</v>
      </c>
      <c r="F4" s="83" t="s">
        <v>57</v>
      </c>
      <c r="G4" s="84" t="s">
        <v>46</v>
      </c>
      <c r="H4" s="66" t="s">
        <v>2</v>
      </c>
    </row>
    <row r="5" spans="1:8" s="5" customFormat="1" ht="15" x14ac:dyDescent="0.25">
      <c r="B5" s="42" t="s">
        <v>69</v>
      </c>
      <c r="C5" s="85">
        <v>100.691076</v>
      </c>
      <c r="D5" s="85">
        <v>111.356549</v>
      </c>
      <c r="E5" s="85">
        <v>120.653628</v>
      </c>
      <c r="F5" s="86">
        <v>59.705956970000003</v>
      </c>
      <c r="G5" s="87">
        <v>64.779205790000006</v>
      </c>
      <c r="H5" s="62">
        <f>+G5/F5-1</f>
        <v>8.4970563700186963E-2</v>
      </c>
    </row>
    <row r="6" spans="1:8" s="5" customFormat="1" ht="15" x14ac:dyDescent="0.25">
      <c r="B6" s="42" t="s">
        <v>70</v>
      </c>
      <c r="C6" s="85">
        <v>92.406000000000006</v>
      </c>
      <c r="D6" s="85">
        <v>102.66</v>
      </c>
      <c r="E6" s="85">
        <v>111.54600000000001</v>
      </c>
      <c r="F6" s="86">
        <v>54.283999999999999</v>
      </c>
      <c r="G6" s="87">
        <v>58.165999999999997</v>
      </c>
      <c r="H6" s="62">
        <f t="shared" ref="H6:H10" si="0">+G6/F6-1</f>
        <v>7.1512784614250924E-2</v>
      </c>
    </row>
    <row r="7" spans="1:8" s="5" customFormat="1" ht="15" x14ac:dyDescent="0.25">
      <c r="B7" s="20" t="s">
        <v>9</v>
      </c>
      <c r="C7" s="74">
        <v>-48.215000000000003</v>
      </c>
      <c r="D7" s="74">
        <v>-53.137</v>
      </c>
      <c r="E7" s="74">
        <v>-63.677999999999997</v>
      </c>
      <c r="F7" s="88">
        <v>-28.39</v>
      </c>
      <c r="G7" s="75">
        <v>-33.435000000000002</v>
      </c>
      <c r="H7" s="63">
        <f t="shared" si="0"/>
        <v>0.17770341669601986</v>
      </c>
    </row>
    <row r="8" spans="1:8" s="5" customFormat="1" ht="15" x14ac:dyDescent="0.25">
      <c r="B8" s="20" t="s">
        <v>10</v>
      </c>
      <c r="C8" s="74">
        <v>-35.036999999999999</v>
      </c>
      <c r="D8" s="74">
        <v>-37.209000000000003</v>
      </c>
      <c r="E8" s="74">
        <v>-40.872999999999998</v>
      </c>
      <c r="F8" s="88">
        <v>-19.678000000000001</v>
      </c>
      <c r="G8" s="75">
        <v>-19.55</v>
      </c>
      <c r="H8" s="63">
        <f t="shared" si="0"/>
        <v>-6.5047260900498172E-3</v>
      </c>
    </row>
    <row r="9" spans="1:8" s="5" customFormat="1" ht="15.75" thickBot="1" x14ac:dyDescent="0.3">
      <c r="B9" s="20" t="s">
        <v>11</v>
      </c>
      <c r="C9" s="74">
        <v>-0.46</v>
      </c>
      <c r="D9" s="74">
        <v>3.3000000000000002E-2</v>
      </c>
      <c r="E9" s="74">
        <v>-0.311</v>
      </c>
      <c r="F9" s="88">
        <v>-0.12</v>
      </c>
      <c r="G9" s="75">
        <v>-9.0999999999999998E-2</v>
      </c>
      <c r="H9" s="63">
        <f t="shared" si="0"/>
        <v>-0.2416666666666667</v>
      </c>
    </row>
    <row r="10" spans="1:8" s="5" customFormat="1" ht="15.75" thickBot="1" x14ac:dyDescent="0.3">
      <c r="B10" s="49" t="s">
        <v>0</v>
      </c>
      <c r="C10" s="78">
        <f>SUM(C6:C9)</f>
        <v>8.6940000000000026</v>
      </c>
      <c r="D10" s="78">
        <f>SUM(D6:D9)</f>
        <v>12.346999999999992</v>
      </c>
      <c r="E10" s="78">
        <f t="shared" ref="E10:G10" si="1">SUM(E6:E9)</f>
        <v>6.6840000000000117</v>
      </c>
      <c r="F10" s="89">
        <f t="shared" si="1"/>
        <v>6.0959999999999974</v>
      </c>
      <c r="G10" s="79">
        <f t="shared" si="1"/>
        <v>5.0899999999999936</v>
      </c>
      <c r="H10" s="68">
        <f t="shared" si="0"/>
        <v>-0.16502624671916077</v>
      </c>
    </row>
    <row r="11" spans="1:8" s="5" customFormat="1" ht="9" customHeight="1" x14ac:dyDescent="0.25">
      <c r="B11" s="42"/>
      <c r="C11" s="90"/>
      <c r="D11" s="90"/>
      <c r="E11" s="90"/>
      <c r="F11" s="90"/>
      <c r="G11" s="90"/>
      <c r="H11" s="91"/>
    </row>
    <row r="12" spans="1:8" s="5" customFormat="1" ht="15" x14ac:dyDescent="0.25">
      <c r="B12" s="44"/>
      <c r="C12" s="92"/>
      <c r="D12" s="92"/>
      <c r="E12" s="92"/>
      <c r="F12" s="92"/>
      <c r="G12" s="92"/>
      <c r="H12" s="54" t="s">
        <v>63</v>
      </c>
    </row>
    <row r="13" spans="1:8" s="5" customFormat="1" ht="15" x14ac:dyDescent="0.25">
      <c r="B13" s="44"/>
      <c r="C13" s="92"/>
      <c r="D13" s="92"/>
      <c r="E13" s="92"/>
      <c r="F13" s="92"/>
      <c r="G13" s="92"/>
      <c r="H13" s="92"/>
    </row>
    <row r="14" spans="1:8" s="5" customFormat="1" ht="15" x14ac:dyDescent="0.25">
      <c r="B14" s="42"/>
      <c r="C14" s="90"/>
      <c r="D14" s="90"/>
      <c r="E14" s="90"/>
      <c r="F14" s="90"/>
      <c r="G14" s="90"/>
      <c r="H14" s="91"/>
    </row>
    <row r="15" spans="1:8" s="5" customFormat="1" ht="15.75" thickBot="1" x14ac:dyDescent="0.3">
      <c r="B15" s="48"/>
      <c r="C15" s="82" t="s">
        <v>45</v>
      </c>
      <c r="D15" s="82" t="s">
        <v>17</v>
      </c>
      <c r="E15" s="82" t="s">
        <v>18</v>
      </c>
      <c r="F15" s="83" t="s">
        <v>57</v>
      </c>
      <c r="G15" s="84" t="s">
        <v>46</v>
      </c>
      <c r="H15" s="67" t="s">
        <v>12</v>
      </c>
    </row>
    <row r="16" spans="1:8" s="5" customFormat="1" ht="15" x14ac:dyDescent="0.25">
      <c r="B16" s="20" t="s">
        <v>13</v>
      </c>
      <c r="C16" s="91">
        <f>-C7/C6</f>
        <v>0.52177347791268969</v>
      </c>
      <c r="D16" s="91">
        <f>-D7/D6</f>
        <v>0.51760179232417691</v>
      </c>
      <c r="E16" s="91">
        <f t="shared" ref="E16:G16" si="2">-E7/E6</f>
        <v>0.57086762411919745</v>
      </c>
      <c r="F16" s="93">
        <f t="shared" si="2"/>
        <v>0.52299019969051652</v>
      </c>
      <c r="G16" s="94">
        <f t="shared" si="2"/>
        <v>0.57482034178042163</v>
      </c>
      <c r="H16" s="64">
        <f>(G16-F16)*100</f>
        <v>5.1830142089905102</v>
      </c>
    </row>
    <row r="17" spans="2:8" s="5" customFormat="1" ht="15.75" thickBot="1" x14ac:dyDescent="0.3">
      <c r="B17" s="20" t="s">
        <v>14</v>
      </c>
      <c r="C17" s="91">
        <f>-(C8+C9)/C6</f>
        <v>0.38414172239897837</v>
      </c>
      <c r="D17" s="91">
        <f>-(D8+D9)/D6</f>
        <v>0.36212741087083578</v>
      </c>
      <c r="E17" s="91">
        <f t="shared" ref="E17:G17" si="3">-(E8+E9)/E6</f>
        <v>0.36921090850411487</v>
      </c>
      <c r="F17" s="93">
        <f t="shared" si="3"/>
        <v>0.36471151720580652</v>
      </c>
      <c r="G17" s="94">
        <f t="shared" si="3"/>
        <v>0.3376714919368704</v>
      </c>
      <c r="H17" s="64">
        <f t="shared" ref="H17:H18" si="4">(G17-F17)*100</f>
        <v>-2.7040025268936119</v>
      </c>
    </row>
    <row r="18" spans="2:8" s="5" customFormat="1" ht="15.75" thickBot="1" x14ac:dyDescent="0.3">
      <c r="B18" s="49" t="s">
        <v>1</v>
      </c>
      <c r="C18" s="95">
        <f>-(C7+C8+C9)/C6</f>
        <v>0.90591520031166806</v>
      </c>
      <c r="D18" s="95">
        <f>-(D7+D8+D9)/D6</f>
        <v>0.87972920319501269</v>
      </c>
      <c r="E18" s="95">
        <f t="shared" ref="E18:G18" si="5">-(E7+E8+E9)/E6</f>
        <v>0.9400785326233122</v>
      </c>
      <c r="F18" s="96">
        <f t="shared" si="5"/>
        <v>0.88770171689632293</v>
      </c>
      <c r="G18" s="97">
        <f t="shared" si="5"/>
        <v>0.91249183371729192</v>
      </c>
      <c r="H18" s="69">
        <f t="shared" si="4"/>
        <v>2.4790116820968988</v>
      </c>
    </row>
    <row r="19" spans="2:8" s="5" customFormat="1" ht="15" x14ac:dyDescent="0.25">
      <c r="B19" s="61"/>
      <c r="C19" s="7"/>
      <c r="D19" s="7"/>
      <c r="E19" s="7"/>
      <c r="F19" s="55"/>
      <c r="G19" s="55"/>
      <c r="H19" s="8"/>
    </row>
    <row r="20" spans="2:8" s="5" customFormat="1" ht="15" x14ac:dyDescent="0.25">
      <c r="H20" s="10"/>
    </row>
  </sheetData>
  <hyperlinks>
    <hyperlink ref="A2" location="'Financial supplement&gt;&gt;&gt;'!A1" display="INDEX" xr:uid="{3DA4A87D-D681-4921-80EF-023ADE68FDD3}"/>
  </hyperlinks>
  <pageMargins left="0.7" right="0.7" top="0.75" bottom="0.75" header="0.3" footer="0.3"/>
  <pageSetup paperSize="9" orientation="portrait" r:id="rId1"/>
  <ignoredErrors>
    <ignoredError sqref="C10:G1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63F1-F0A7-4FEE-AF73-6646F92F86E8}">
  <dimension ref="A1:H20"/>
  <sheetViews>
    <sheetView showGridLines="0" zoomScaleNormal="100" workbookViewId="0"/>
  </sheetViews>
  <sheetFormatPr baseColWidth="10" defaultColWidth="10.85546875" defaultRowHeight="12.75" x14ac:dyDescent="0.2"/>
  <cols>
    <col min="1" max="1" width="10.7109375" style="9" customWidth="1"/>
    <col min="2" max="2" width="48" style="9" bestFit="1" customWidth="1"/>
    <col min="3" max="8" width="11" style="9" customWidth="1"/>
    <col min="9" max="16384" width="10.85546875" style="9"/>
  </cols>
  <sheetData>
    <row r="1" spans="1:8" ht="16.5" customHeight="1" x14ac:dyDescent="0.2"/>
    <row r="2" spans="1:8" ht="18.75" customHeight="1" thickBot="1" x14ac:dyDescent="0.25">
      <c r="A2" s="137" t="s">
        <v>114</v>
      </c>
      <c r="B2" s="29" t="s">
        <v>16</v>
      </c>
      <c r="C2" s="29"/>
      <c r="D2" s="29"/>
      <c r="E2" s="29"/>
      <c r="F2" s="29"/>
      <c r="G2" s="29"/>
      <c r="H2" s="29"/>
    </row>
    <row r="4" spans="1:8" s="5" customFormat="1" ht="15.75" thickBot="1" x14ac:dyDescent="0.3">
      <c r="B4" s="48"/>
      <c r="C4" s="82" t="s">
        <v>45</v>
      </c>
      <c r="D4" s="82" t="s">
        <v>17</v>
      </c>
      <c r="E4" s="82" t="s">
        <v>18</v>
      </c>
      <c r="F4" s="83" t="s">
        <v>57</v>
      </c>
      <c r="G4" s="84" t="s">
        <v>46</v>
      </c>
      <c r="H4" s="66" t="s">
        <v>2</v>
      </c>
    </row>
    <row r="5" spans="1:8" s="5" customFormat="1" ht="15" x14ac:dyDescent="0.25">
      <c r="B5" s="42" t="s">
        <v>69</v>
      </c>
      <c r="C5" s="85">
        <v>7.5179999999999998</v>
      </c>
      <c r="D5" s="85">
        <v>15.744</v>
      </c>
      <c r="E5" s="85">
        <v>21.826000000000001</v>
      </c>
      <c r="F5" s="86">
        <v>13.25764721</v>
      </c>
      <c r="G5" s="87">
        <v>16.622485779999998</v>
      </c>
      <c r="H5" s="62">
        <f>+G5/F5-1</f>
        <v>0.25380359853458478</v>
      </c>
    </row>
    <row r="6" spans="1:8" s="5" customFormat="1" ht="15" x14ac:dyDescent="0.25">
      <c r="B6" s="42" t="s">
        <v>70</v>
      </c>
      <c r="C6" s="85">
        <v>2.1469999999999998</v>
      </c>
      <c r="D6" s="85">
        <v>0.748</v>
      </c>
      <c r="E6" s="85">
        <v>12.02</v>
      </c>
      <c r="F6" s="86">
        <v>4.8849999999999998</v>
      </c>
      <c r="G6" s="87">
        <v>6.3419999999999996</v>
      </c>
      <c r="H6" s="62">
        <f t="shared" ref="H6:H10" si="0">+G6/F6-1</f>
        <v>0.29825997952917094</v>
      </c>
    </row>
    <row r="7" spans="1:8" s="5" customFormat="1" ht="15" x14ac:dyDescent="0.25">
      <c r="B7" s="20" t="s">
        <v>9</v>
      </c>
      <c r="C7" s="74">
        <v>-2.8660000000000001</v>
      </c>
      <c r="D7" s="74">
        <v>-7.8559999999999999</v>
      </c>
      <c r="E7" s="74">
        <v>-10.712</v>
      </c>
      <c r="F7" s="88">
        <v>-5.258</v>
      </c>
      <c r="G7" s="75">
        <v>-6.6779999999999999</v>
      </c>
      <c r="H7" s="63">
        <f t="shared" si="0"/>
        <v>0.27006466337010271</v>
      </c>
    </row>
    <row r="8" spans="1:8" s="5" customFormat="1" ht="15" x14ac:dyDescent="0.25">
      <c r="B8" s="20" t="s">
        <v>10</v>
      </c>
      <c r="C8" s="74">
        <v>-6.0830000000000002</v>
      </c>
      <c r="D8" s="74">
        <v>-9.0850000000000009</v>
      </c>
      <c r="E8" s="74">
        <v>-8.92</v>
      </c>
      <c r="F8" s="88">
        <v>-2.1659999999999999</v>
      </c>
      <c r="G8" s="75">
        <v>-2.5670000000000002</v>
      </c>
      <c r="H8" s="63">
        <f t="shared" si="0"/>
        <v>0.18513388734995395</v>
      </c>
    </row>
    <row r="9" spans="1:8" s="5" customFormat="1" ht="15.75" thickBot="1" x14ac:dyDescent="0.3">
      <c r="B9" s="20" t="s">
        <v>11</v>
      </c>
      <c r="C9" s="74">
        <v>-0.24</v>
      </c>
      <c r="D9" s="74">
        <v>-0.153</v>
      </c>
      <c r="E9" s="74">
        <v>-0.27800000000000002</v>
      </c>
      <c r="F9" s="88">
        <v>-0.121</v>
      </c>
      <c r="G9" s="75">
        <v>-0.10299999999999999</v>
      </c>
      <c r="H9" s="63">
        <f t="shared" si="0"/>
        <v>-0.14876033057851246</v>
      </c>
    </row>
    <row r="10" spans="1:8" s="5" customFormat="1" ht="15.75" thickBot="1" x14ac:dyDescent="0.3">
      <c r="B10" s="49" t="s">
        <v>0</v>
      </c>
      <c r="C10" s="78">
        <f>SUM(C6:C9)</f>
        <v>-7.0420000000000007</v>
      </c>
      <c r="D10" s="78">
        <f>SUM(D6:D9)</f>
        <v>-16.346</v>
      </c>
      <c r="E10" s="78">
        <f t="shared" ref="E10:G10" si="1">SUM(E6:E9)</f>
        <v>-7.8900000000000006</v>
      </c>
      <c r="F10" s="89">
        <f t="shared" si="1"/>
        <v>-2.66</v>
      </c>
      <c r="G10" s="79">
        <f t="shared" si="1"/>
        <v>-3.0060000000000007</v>
      </c>
      <c r="H10" s="68">
        <f t="shared" si="0"/>
        <v>0.1300751879699249</v>
      </c>
    </row>
    <row r="11" spans="1:8" s="5" customFormat="1" ht="9" customHeight="1" x14ac:dyDescent="0.25">
      <c r="B11" s="42"/>
      <c r="C11" s="55"/>
      <c r="D11" s="55"/>
      <c r="E11" s="55"/>
      <c r="F11" s="55"/>
      <c r="G11" s="55"/>
      <c r="H11" s="56"/>
    </row>
    <row r="12" spans="1:8" s="5" customFormat="1" ht="15" x14ac:dyDescent="0.25">
      <c r="B12" s="44"/>
      <c r="C12" s="44"/>
      <c r="D12" s="44"/>
      <c r="E12" s="44"/>
      <c r="F12" s="44"/>
      <c r="G12" s="44"/>
      <c r="H12" s="54" t="s">
        <v>63</v>
      </c>
    </row>
    <row r="13" spans="1:8" s="5" customFormat="1" ht="15" x14ac:dyDescent="0.25">
      <c r="B13" s="44"/>
      <c r="C13" s="44"/>
      <c r="D13" s="44"/>
      <c r="E13" s="44"/>
      <c r="F13" s="44"/>
      <c r="G13" s="44"/>
      <c r="H13" s="44"/>
    </row>
    <row r="14" spans="1:8" s="5" customFormat="1" ht="15" x14ac:dyDescent="0.25">
      <c r="B14" s="42"/>
      <c r="C14" s="55"/>
      <c r="D14" s="55"/>
      <c r="E14" s="55"/>
      <c r="F14" s="55"/>
      <c r="G14" s="55"/>
      <c r="H14" s="56"/>
    </row>
    <row r="15" spans="1:8" s="5" customFormat="1" ht="15.75" thickBot="1" x14ac:dyDescent="0.3">
      <c r="B15" s="48"/>
      <c r="C15" s="82" t="s">
        <v>45</v>
      </c>
      <c r="D15" s="82" t="s">
        <v>17</v>
      </c>
      <c r="E15" s="82" t="s">
        <v>18</v>
      </c>
      <c r="F15" s="83" t="s">
        <v>57</v>
      </c>
      <c r="G15" s="84" t="s">
        <v>46</v>
      </c>
      <c r="H15" s="67" t="s">
        <v>12</v>
      </c>
    </row>
    <row r="16" spans="1:8" s="5" customFormat="1" ht="15" x14ac:dyDescent="0.25">
      <c r="B16" s="20" t="s">
        <v>13</v>
      </c>
      <c r="C16" s="91">
        <f>-C7/C6</f>
        <v>1.3348858872845832</v>
      </c>
      <c r="D16" s="91">
        <f>-D7/D6</f>
        <v>10.502673796791443</v>
      </c>
      <c r="E16" s="91">
        <f t="shared" ref="E16:G16" si="2">-E7/E6</f>
        <v>0.89118136439267892</v>
      </c>
      <c r="F16" s="93">
        <f t="shared" si="2"/>
        <v>1.0763561924257934</v>
      </c>
      <c r="G16" s="94">
        <f t="shared" si="2"/>
        <v>1.0529801324503312</v>
      </c>
      <c r="H16" s="64">
        <f>(G16-F16)*100</f>
        <v>-2.3376059975462216</v>
      </c>
    </row>
    <row r="17" spans="2:8" s="5" customFormat="1" ht="15.75" thickBot="1" x14ac:dyDescent="0.3">
      <c r="B17" s="20" t="s">
        <v>14</v>
      </c>
      <c r="C17" s="91">
        <f>-(C8+C9)/C6</f>
        <v>2.9450395901257571</v>
      </c>
      <c r="D17" s="91">
        <f>-(D8+D9)/D6</f>
        <v>12.350267379679146</v>
      </c>
      <c r="E17" s="91">
        <f t="shared" ref="E17:G17" si="3">-(E8+E9)/E6</f>
        <v>0.7652246256239601</v>
      </c>
      <c r="F17" s="93">
        <f t="shared" si="3"/>
        <v>0.46816786079836231</v>
      </c>
      <c r="G17" s="94">
        <f t="shared" si="3"/>
        <v>0.42100283822138135</v>
      </c>
      <c r="H17" s="64">
        <f t="shared" ref="H17:H18" si="4">(G17-F17)*100</f>
        <v>-4.7165022576980959</v>
      </c>
    </row>
    <row r="18" spans="2:8" s="5" customFormat="1" ht="15.75" thickBot="1" x14ac:dyDescent="0.3">
      <c r="B18" s="49" t="s">
        <v>1</v>
      </c>
      <c r="C18" s="95">
        <f>-(C7+C8+C9)/C6</f>
        <v>4.2799254774103401</v>
      </c>
      <c r="D18" s="95">
        <f>-(D7+D8+D9)/D6</f>
        <v>22.852941176470591</v>
      </c>
      <c r="E18" s="95">
        <f t="shared" ref="E18:G18" si="5">-(E7+E8+E9)/E6</f>
        <v>1.6564059900166388</v>
      </c>
      <c r="F18" s="96">
        <f t="shared" si="5"/>
        <v>1.5445240532241555</v>
      </c>
      <c r="G18" s="97">
        <f t="shared" si="5"/>
        <v>1.4739829706717127</v>
      </c>
      <c r="H18" s="69">
        <f t="shared" si="4"/>
        <v>-7.0541082552442846</v>
      </c>
    </row>
    <row r="19" spans="2:8" s="5" customFormat="1" ht="15" x14ac:dyDescent="0.25">
      <c r="B19" s="6"/>
      <c r="C19" s="7"/>
      <c r="D19" s="7"/>
      <c r="E19" s="7"/>
      <c r="F19" s="55"/>
      <c r="G19" s="55"/>
      <c r="H19" s="8"/>
    </row>
    <row r="20" spans="2:8" s="5" customFormat="1" ht="15" x14ac:dyDescent="0.25">
      <c r="H20" s="10"/>
    </row>
  </sheetData>
  <hyperlinks>
    <hyperlink ref="A2" location="'Financial supplement&gt;&gt;&gt;'!A1" display="INDEX" xr:uid="{08D2BE40-5675-4719-B196-478C86AA56D1}"/>
  </hyperlinks>
  <pageMargins left="0.7" right="0.7" top="0.75" bottom="0.75" header="0.3" footer="0.3"/>
  <pageSetup paperSize="9" orientation="portrait" r:id="rId1"/>
  <ignoredErrors>
    <ignoredError sqref="C10:G1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C732-7491-4626-8159-AB756F517F87}">
  <dimension ref="A1:H21"/>
  <sheetViews>
    <sheetView showGridLines="0" zoomScaleNormal="100" workbookViewId="0"/>
  </sheetViews>
  <sheetFormatPr baseColWidth="10" defaultColWidth="10.85546875" defaultRowHeight="12.75" x14ac:dyDescent="0.2"/>
  <cols>
    <col min="1" max="1" width="10.7109375" style="9" customWidth="1"/>
    <col min="2" max="2" width="48" style="9" bestFit="1" customWidth="1"/>
    <col min="3" max="8" width="11" style="9" customWidth="1"/>
    <col min="9" max="16384" width="10.85546875" style="9"/>
  </cols>
  <sheetData>
    <row r="1" spans="1:8" ht="16.5" customHeight="1" x14ac:dyDescent="0.2"/>
    <row r="2" spans="1:8" ht="18.75" customHeight="1" thickBot="1" x14ac:dyDescent="0.25">
      <c r="A2" s="137" t="s">
        <v>114</v>
      </c>
      <c r="B2" s="29" t="s">
        <v>112</v>
      </c>
      <c r="C2" s="29"/>
      <c r="D2" s="29"/>
      <c r="E2" s="29"/>
      <c r="F2" s="29"/>
      <c r="G2" s="29"/>
      <c r="H2" s="29"/>
    </row>
    <row r="4" spans="1:8" s="5" customFormat="1" ht="15.75" thickBot="1" x14ac:dyDescent="0.3">
      <c r="B4" s="48"/>
      <c r="C4" s="82" t="s">
        <v>45</v>
      </c>
      <c r="D4" s="82" t="s">
        <v>17</v>
      </c>
      <c r="E4" s="82" t="s">
        <v>18</v>
      </c>
      <c r="F4" s="82" t="s">
        <v>57</v>
      </c>
      <c r="G4" s="84" t="s">
        <v>46</v>
      </c>
      <c r="H4" s="66" t="s">
        <v>2</v>
      </c>
    </row>
    <row r="5" spans="1:8" s="5" customFormat="1" ht="15" x14ac:dyDescent="0.25">
      <c r="B5" s="42" t="s">
        <v>69</v>
      </c>
      <c r="C5" s="85">
        <v>3.7330000000000001</v>
      </c>
      <c r="D5" s="85">
        <v>3.036</v>
      </c>
      <c r="E5" s="85">
        <v>1.478</v>
      </c>
      <c r="F5" s="85">
        <v>1.45598549</v>
      </c>
      <c r="G5" s="87">
        <v>1.3632525899999999</v>
      </c>
      <c r="H5" s="62">
        <f>+G5/F5-1</f>
        <v>-6.3690813292377024E-2</v>
      </c>
    </row>
    <row r="6" spans="1:8" s="5" customFormat="1" ht="15" x14ac:dyDescent="0.25">
      <c r="B6" s="42" t="s">
        <v>70</v>
      </c>
      <c r="C6" s="85">
        <v>3.2149999999999999</v>
      </c>
      <c r="D6" s="85">
        <v>3.0449999999999999</v>
      </c>
      <c r="E6" s="85">
        <v>2.0059999999999998</v>
      </c>
      <c r="F6" s="85">
        <v>1.0760000000000001</v>
      </c>
      <c r="G6" s="87">
        <v>0.67900000000000005</v>
      </c>
      <c r="H6" s="62">
        <f t="shared" ref="H6:H11" si="0">+G6/F6-1</f>
        <v>-0.3689591078066915</v>
      </c>
    </row>
    <row r="7" spans="1:8" s="5" customFormat="1" ht="15" x14ac:dyDescent="0.25">
      <c r="B7" s="20" t="s">
        <v>9</v>
      </c>
      <c r="C7" s="74">
        <v>-0.223</v>
      </c>
      <c r="D7" s="74">
        <v>-0.32600000000000001</v>
      </c>
      <c r="E7" s="74">
        <v>-0.29199999999999998</v>
      </c>
      <c r="F7" s="74">
        <v>-0.32600000000000001</v>
      </c>
      <c r="G7" s="75">
        <v>-3.2000000000000001E-2</v>
      </c>
      <c r="H7" s="63">
        <f t="shared" si="0"/>
        <v>-0.90184049079754602</v>
      </c>
    </row>
    <row r="8" spans="1:8" s="5" customFormat="1" ht="15" x14ac:dyDescent="0.25">
      <c r="B8" s="20" t="s">
        <v>61</v>
      </c>
      <c r="C8" s="74">
        <v>-0.751</v>
      </c>
      <c r="D8" s="74">
        <v>-0.72399999999999998</v>
      </c>
      <c r="E8" s="74">
        <v>-0.70799999999999996</v>
      </c>
      <c r="F8" s="74">
        <v>-0.41699999999999998</v>
      </c>
      <c r="G8" s="75">
        <v>-0.17199999999999999</v>
      </c>
      <c r="H8" s="63">
        <f t="shared" si="0"/>
        <v>-0.58752997601918466</v>
      </c>
    </row>
    <row r="9" spans="1:8" s="5" customFormat="1" ht="15" x14ac:dyDescent="0.25">
      <c r="B9" s="20" t="s">
        <v>10</v>
      </c>
      <c r="C9" s="74">
        <v>-1.0549999999999999</v>
      </c>
      <c r="D9" s="74">
        <v>-0.878</v>
      </c>
      <c r="E9" s="74">
        <v>-0.34200000000000003</v>
      </c>
      <c r="F9" s="74">
        <v>-8.4000000000000005E-2</v>
      </c>
      <c r="G9" s="75">
        <v>-0.01</v>
      </c>
      <c r="H9" s="63">
        <f t="shared" si="0"/>
        <v>-0.88095238095238093</v>
      </c>
    </row>
    <row r="10" spans="1:8" s="5" customFormat="1" ht="15.75" thickBot="1" x14ac:dyDescent="0.3">
      <c r="B10" s="20" t="s">
        <v>11</v>
      </c>
      <c r="C10" s="74">
        <v>0</v>
      </c>
      <c r="D10" s="74">
        <v>0</v>
      </c>
      <c r="E10" s="74">
        <v>0</v>
      </c>
      <c r="F10" s="74">
        <v>0</v>
      </c>
      <c r="G10" s="75">
        <v>0</v>
      </c>
      <c r="H10" s="63" t="s">
        <v>66</v>
      </c>
    </row>
    <row r="11" spans="1:8" s="5" customFormat="1" ht="15.75" thickBot="1" x14ac:dyDescent="0.3">
      <c r="B11" s="49" t="s">
        <v>0</v>
      </c>
      <c r="C11" s="78">
        <f>SUM(C6:C10)</f>
        <v>1.1860000000000002</v>
      </c>
      <c r="D11" s="78">
        <f>SUM(D6:D10)</f>
        <v>1.117</v>
      </c>
      <c r="E11" s="78">
        <f t="shared" ref="E11:G11" si="1">SUM(E6:E10)</f>
        <v>0.6639999999999997</v>
      </c>
      <c r="F11" s="89">
        <f t="shared" si="1"/>
        <v>0.249</v>
      </c>
      <c r="G11" s="79">
        <f t="shared" si="1"/>
        <v>0.46500000000000002</v>
      </c>
      <c r="H11" s="68">
        <f t="shared" si="0"/>
        <v>0.86746987951807242</v>
      </c>
    </row>
    <row r="12" spans="1:8" s="5" customFormat="1" ht="9" customHeight="1" x14ac:dyDescent="0.25">
      <c r="B12" s="42"/>
      <c r="C12" s="90"/>
      <c r="D12" s="90"/>
      <c r="E12" s="90"/>
      <c r="F12" s="90"/>
      <c r="G12" s="90"/>
      <c r="H12" s="91"/>
    </row>
    <row r="13" spans="1:8" s="5" customFormat="1" ht="15" x14ac:dyDescent="0.25">
      <c r="B13" s="44"/>
      <c r="C13" s="92"/>
      <c r="D13" s="92"/>
      <c r="E13" s="92"/>
      <c r="F13" s="92"/>
      <c r="G13" s="92"/>
      <c r="H13" s="54" t="s">
        <v>63</v>
      </c>
    </row>
    <row r="14" spans="1:8" s="5" customFormat="1" ht="15" x14ac:dyDescent="0.25">
      <c r="B14" s="44"/>
      <c r="C14" s="92"/>
      <c r="D14" s="92"/>
      <c r="E14" s="92"/>
      <c r="F14" s="92"/>
      <c r="G14" s="92"/>
      <c r="H14" s="92"/>
    </row>
    <row r="15" spans="1:8" s="5" customFormat="1" ht="15" x14ac:dyDescent="0.25">
      <c r="B15" s="42"/>
      <c r="C15" s="90"/>
      <c r="D15" s="90"/>
      <c r="E15" s="90"/>
      <c r="F15" s="90"/>
      <c r="G15" s="90"/>
      <c r="H15" s="91"/>
    </row>
    <row r="16" spans="1:8" s="5" customFormat="1" ht="15.75" thickBot="1" x14ac:dyDescent="0.3">
      <c r="B16" s="48"/>
      <c r="C16" s="82" t="s">
        <v>45</v>
      </c>
      <c r="D16" s="82" t="s">
        <v>17</v>
      </c>
      <c r="E16" s="82" t="s">
        <v>18</v>
      </c>
      <c r="F16" s="83" t="s">
        <v>57</v>
      </c>
      <c r="G16" s="84" t="s">
        <v>46</v>
      </c>
      <c r="H16" s="67" t="s">
        <v>12</v>
      </c>
    </row>
    <row r="17" spans="2:8" s="5" customFormat="1" ht="15" x14ac:dyDescent="0.25">
      <c r="B17" s="20" t="s">
        <v>13</v>
      </c>
      <c r="C17" s="91">
        <f>-C7/C6</f>
        <v>6.9362363919129089E-2</v>
      </c>
      <c r="D17" s="91">
        <f>-D7/D6</f>
        <v>0.10706075533661741</v>
      </c>
      <c r="E17" s="91">
        <f t="shared" ref="E17:G17" si="2">-E7/E6</f>
        <v>0.14556331006979065</v>
      </c>
      <c r="F17" s="93">
        <f t="shared" si="2"/>
        <v>0.30297397769516726</v>
      </c>
      <c r="G17" s="94">
        <f t="shared" si="2"/>
        <v>4.7128129602356406E-2</v>
      </c>
      <c r="H17" s="64">
        <f>(G17-F17)*100</f>
        <v>-25.584584809281086</v>
      </c>
    </row>
    <row r="18" spans="2:8" s="5" customFormat="1" ht="15.75" thickBot="1" x14ac:dyDescent="0.3">
      <c r="B18" s="20" t="s">
        <v>14</v>
      </c>
      <c r="C18" s="91">
        <f>-(C9+C10+C8)/C6</f>
        <v>0.56174183514774501</v>
      </c>
      <c r="D18" s="91">
        <f>-(D9+D10+D8)/D6</f>
        <v>0.52610837438423641</v>
      </c>
      <c r="E18" s="91">
        <f>-(E9+E10+E8)/E6</f>
        <v>0.52342971086739787</v>
      </c>
      <c r="F18" s="93">
        <f t="shared" ref="F18:G18" si="3">-(F9+F10+F8)/F6</f>
        <v>0.46561338289962823</v>
      </c>
      <c r="G18" s="94">
        <f t="shared" si="3"/>
        <v>0.26804123711340205</v>
      </c>
      <c r="H18" s="64">
        <f t="shared" ref="H18:H19" si="4">(G18-F18)*100</f>
        <v>-19.757214578622616</v>
      </c>
    </row>
    <row r="19" spans="2:8" s="5" customFormat="1" ht="15.75" thickBot="1" x14ac:dyDescent="0.3">
      <c r="B19" s="49" t="s">
        <v>1</v>
      </c>
      <c r="C19" s="95">
        <f>-(C7+C9+C10+C8)/C6</f>
        <v>0.63110419906687398</v>
      </c>
      <c r="D19" s="95">
        <f>-(D7+D9+D10+D8)/D6</f>
        <v>0.63316912972085382</v>
      </c>
      <c r="E19" s="95">
        <f>-(E7+E9+E10+E8)/E6</f>
        <v>0.6689930209371886</v>
      </c>
      <c r="F19" s="96">
        <f t="shared" ref="F19:G19" si="5">-(F7+F9+F10+F8)/F6</f>
        <v>0.76858736059479549</v>
      </c>
      <c r="G19" s="97">
        <f t="shared" si="5"/>
        <v>0.31516936671575846</v>
      </c>
      <c r="H19" s="69">
        <f t="shared" si="4"/>
        <v>-45.341799387903706</v>
      </c>
    </row>
    <row r="20" spans="2:8" s="5" customFormat="1" ht="15" x14ac:dyDescent="0.25">
      <c r="B20" s="42"/>
      <c r="C20" s="55"/>
      <c r="D20" s="55"/>
      <c r="E20" s="55"/>
      <c r="F20" s="55"/>
      <c r="G20" s="55"/>
      <c r="H20" s="56"/>
    </row>
    <row r="21" spans="2:8" s="5" customFormat="1" ht="15" x14ac:dyDescent="0.25">
      <c r="H21" s="10"/>
    </row>
  </sheetData>
  <hyperlinks>
    <hyperlink ref="A2" location="'Financial supplement&gt;&gt;&gt;'!A1" display="INDEX" xr:uid="{B77D0C5F-C909-4C0B-9487-5825477AAB7E}"/>
  </hyperlinks>
  <pageMargins left="0.7" right="0.7" top="0.75" bottom="0.75" header="0.3" footer="0.3"/>
  <pageSetup paperSize="9" orientation="portrait" r:id="rId1"/>
  <ignoredErrors>
    <ignoredError sqref="C11:G1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dimension ref="A1:G54"/>
  <sheetViews>
    <sheetView showGridLines="0" zoomScaleNormal="100" workbookViewId="0"/>
  </sheetViews>
  <sheetFormatPr baseColWidth="10" defaultColWidth="10.85546875" defaultRowHeight="12.75" x14ac:dyDescent="0.2"/>
  <cols>
    <col min="1" max="1" width="10.7109375" style="9" customWidth="1"/>
    <col min="2" max="2" width="39" style="9" customWidth="1"/>
    <col min="3" max="5" width="13.5703125" style="9" customWidth="1"/>
    <col min="6" max="7" width="9.7109375" style="9" customWidth="1"/>
    <col min="8" max="16384" width="10.85546875" style="9"/>
  </cols>
  <sheetData>
    <row r="1" spans="1:7" ht="16.5" customHeight="1" x14ac:dyDescent="0.2"/>
    <row r="2" spans="1:7" ht="18.75" customHeight="1" thickBot="1" x14ac:dyDescent="0.25">
      <c r="A2" s="137" t="s">
        <v>114</v>
      </c>
      <c r="B2" s="29" t="s">
        <v>19</v>
      </c>
      <c r="C2" s="29"/>
      <c r="D2" s="29"/>
      <c r="E2" s="29"/>
      <c r="F2" s="29"/>
      <c r="G2" s="29"/>
    </row>
    <row r="4" spans="1:7" ht="14.25" thickBot="1" x14ac:dyDescent="0.25">
      <c r="B4" s="48"/>
      <c r="C4" s="65" t="s">
        <v>45</v>
      </c>
      <c r="D4" s="65" t="s">
        <v>17</v>
      </c>
      <c r="E4" s="65" t="s">
        <v>18</v>
      </c>
      <c r="F4" s="156" t="s">
        <v>46</v>
      </c>
      <c r="G4" s="157"/>
    </row>
    <row r="5" spans="1:7" ht="13.5" x14ac:dyDescent="0.2">
      <c r="B5" s="141" t="s">
        <v>21</v>
      </c>
      <c r="C5" s="142">
        <f>C6+C13</f>
        <v>696.94509054000002</v>
      </c>
      <c r="D5" s="142">
        <f>D6+D13</f>
        <v>720.79713547000006</v>
      </c>
      <c r="E5" s="142">
        <f>E6+E13</f>
        <v>801.20928559000004</v>
      </c>
      <c r="F5" s="99">
        <f>F6+F13</f>
        <v>763.18163952000009</v>
      </c>
      <c r="G5" s="100">
        <f t="shared" ref="G5:G20" si="0">F5/F$21</f>
        <v>0.77563650034303577</v>
      </c>
    </row>
    <row r="6" spans="1:7" ht="13.5" x14ac:dyDescent="0.2">
      <c r="B6" s="143" t="s">
        <v>72</v>
      </c>
      <c r="C6" s="142">
        <f>SUM(C7:C12)</f>
        <v>397.56668119000005</v>
      </c>
      <c r="D6" s="142">
        <f>SUM(D7:D12)</f>
        <v>394.65581484000001</v>
      </c>
      <c r="E6" s="142">
        <f>SUM(E7:E12)</f>
        <v>438.76314399</v>
      </c>
      <c r="F6" s="99">
        <f>SUM(F7:F12)</f>
        <v>418.54033270000002</v>
      </c>
      <c r="G6" s="100">
        <f t="shared" si="0"/>
        <v>0.42537076640367788</v>
      </c>
    </row>
    <row r="7" spans="1:7" ht="13.5" x14ac:dyDescent="0.2">
      <c r="B7" s="144" t="s">
        <v>22</v>
      </c>
      <c r="C7" s="145">
        <v>263.89888505000005</v>
      </c>
      <c r="D7" s="145">
        <v>247.39405644000001</v>
      </c>
      <c r="E7" s="145">
        <v>216.81194155999995</v>
      </c>
      <c r="F7" s="58">
        <v>191.25632794000001</v>
      </c>
      <c r="G7" s="101">
        <f t="shared" si="0"/>
        <v>0.19437756516933868</v>
      </c>
    </row>
    <row r="8" spans="1:7" ht="13.5" x14ac:dyDescent="0.2">
      <c r="B8" s="144" t="s">
        <v>23</v>
      </c>
      <c r="C8" s="145">
        <v>80.202500000000001</v>
      </c>
      <c r="D8" s="145">
        <v>91.853940789999996</v>
      </c>
      <c r="E8" s="145">
        <v>157.27144813000001</v>
      </c>
      <c r="F8" s="58">
        <v>154.38595438999997</v>
      </c>
      <c r="G8" s="101">
        <f t="shared" si="0"/>
        <v>0.15690547985469583</v>
      </c>
    </row>
    <row r="9" spans="1:7" ht="13.5" x14ac:dyDescent="0.2">
      <c r="B9" s="144" t="s">
        <v>24</v>
      </c>
      <c r="C9" s="145">
        <v>47.496688939999999</v>
      </c>
      <c r="D9" s="145">
        <v>48.972218159999997</v>
      </c>
      <c r="E9" s="145">
        <v>57.670556810000001</v>
      </c>
      <c r="F9" s="58">
        <v>57.323137220000007</v>
      </c>
      <c r="G9" s="101">
        <f t="shared" si="0"/>
        <v>5.8258631025202019E-2</v>
      </c>
    </row>
    <row r="10" spans="1:7" ht="13.5" x14ac:dyDescent="0.2">
      <c r="B10" s="144" t="s">
        <v>25</v>
      </c>
      <c r="C10" s="145">
        <v>4.2142794500000003</v>
      </c>
      <c r="D10" s="145">
        <v>4.6485994499999999</v>
      </c>
      <c r="E10" s="145">
        <v>0</v>
      </c>
      <c r="F10" s="58">
        <v>0</v>
      </c>
      <c r="G10" s="101">
        <f t="shared" si="0"/>
        <v>0</v>
      </c>
    </row>
    <row r="11" spans="1:7" ht="13.5" x14ac:dyDescent="0.2">
      <c r="B11" s="144" t="s">
        <v>26</v>
      </c>
      <c r="C11" s="145">
        <v>1.7543277499999999</v>
      </c>
      <c r="D11" s="145">
        <v>1.7869999999999999</v>
      </c>
      <c r="E11" s="145">
        <v>1.6291822600000001</v>
      </c>
      <c r="F11" s="58">
        <v>2.8926556099999998</v>
      </c>
      <c r="G11" s="101">
        <f t="shared" si="0"/>
        <v>2.9398627506935083E-3</v>
      </c>
    </row>
    <row r="12" spans="1:7" ht="13.5" x14ac:dyDescent="0.2">
      <c r="B12" s="144" t="s">
        <v>6</v>
      </c>
      <c r="C12" s="145" t="s">
        <v>66</v>
      </c>
      <c r="D12" s="145">
        <v>0</v>
      </c>
      <c r="E12" s="145">
        <v>5.3800152299999997</v>
      </c>
      <c r="F12" s="58">
        <v>12.68225754</v>
      </c>
      <c r="G12" s="101">
        <f t="shared" si="0"/>
        <v>1.2889227603747786E-2</v>
      </c>
    </row>
    <row r="13" spans="1:7" ht="13.5" x14ac:dyDescent="0.2">
      <c r="B13" s="143" t="s">
        <v>71</v>
      </c>
      <c r="C13" s="142">
        <f>SUM(C14:C16)</f>
        <v>299.37840934999997</v>
      </c>
      <c r="D13" s="142">
        <f>SUM(D14:D16)</f>
        <v>326.14132063</v>
      </c>
      <c r="E13" s="142">
        <f>SUM(E14:E16)</f>
        <v>362.44614160000003</v>
      </c>
      <c r="F13" s="99">
        <f>SUM(F14:F16)</f>
        <v>344.64130682000007</v>
      </c>
      <c r="G13" s="100">
        <f t="shared" si="0"/>
        <v>0.35026573393935784</v>
      </c>
    </row>
    <row r="14" spans="1:7" ht="13.5" x14ac:dyDescent="0.2">
      <c r="B14" s="144" t="s">
        <v>22</v>
      </c>
      <c r="C14" s="145">
        <v>137.46092869</v>
      </c>
      <c r="D14" s="145">
        <v>169.93397991000001</v>
      </c>
      <c r="E14" s="145">
        <v>199.09100000000001</v>
      </c>
      <c r="F14" s="58">
        <v>177.54882938000006</v>
      </c>
      <c r="G14" s="101">
        <f t="shared" si="0"/>
        <v>0.18044636496617011</v>
      </c>
    </row>
    <row r="15" spans="1:7" ht="13.5" x14ac:dyDescent="0.2">
      <c r="B15" s="144" t="s">
        <v>27</v>
      </c>
      <c r="C15" s="145">
        <v>130.3364</v>
      </c>
      <c r="D15" s="145">
        <v>123.47205232</v>
      </c>
      <c r="E15" s="145">
        <v>137.08419157</v>
      </c>
      <c r="F15" s="58">
        <v>139.23051219000001</v>
      </c>
      <c r="G15" s="101">
        <f t="shared" si="0"/>
        <v>0.14150270607131124</v>
      </c>
    </row>
    <row r="16" spans="1:7" ht="13.5" x14ac:dyDescent="0.2">
      <c r="B16" s="144" t="s">
        <v>28</v>
      </c>
      <c r="C16" s="145">
        <v>31.581080659999994</v>
      </c>
      <c r="D16" s="145">
        <v>32.735288400000002</v>
      </c>
      <c r="E16" s="145">
        <v>26.270950030000005</v>
      </c>
      <c r="F16" s="58">
        <v>27.861965250000004</v>
      </c>
      <c r="G16" s="101">
        <f t="shared" si="0"/>
        <v>2.831666290187651E-2</v>
      </c>
    </row>
    <row r="17" spans="2:7" ht="13.5" x14ac:dyDescent="0.2">
      <c r="B17" s="141" t="s">
        <v>29</v>
      </c>
      <c r="C17" s="142">
        <v>45.094000000000001</v>
      </c>
      <c r="D17" s="142">
        <v>59.231000000000002</v>
      </c>
      <c r="E17" s="142">
        <v>60.536000000000001</v>
      </c>
      <c r="F17" s="99">
        <v>76.562713789999989</v>
      </c>
      <c r="G17" s="100">
        <f t="shared" si="0"/>
        <v>7.781219084121431E-2</v>
      </c>
    </row>
    <row r="18" spans="2:7" ht="13.5" x14ac:dyDescent="0.2">
      <c r="B18" s="144" t="s">
        <v>62</v>
      </c>
      <c r="C18" s="145">
        <v>10.3</v>
      </c>
      <c r="D18" s="145">
        <v>19.416</v>
      </c>
      <c r="E18" s="145">
        <v>19.795000000000002</v>
      </c>
      <c r="F18" s="58">
        <v>19.594807510000003</v>
      </c>
      <c r="G18" s="101">
        <f t="shared" si="0"/>
        <v>1.9914588002288468E-2</v>
      </c>
    </row>
    <row r="19" spans="2:7" ht="13.5" x14ac:dyDescent="0.2">
      <c r="B19" s="141" t="s">
        <v>30</v>
      </c>
      <c r="C19" s="142">
        <v>43.668999999999997</v>
      </c>
      <c r="D19" s="142">
        <v>57.457000000000001</v>
      </c>
      <c r="E19" s="142">
        <v>65.319000000000003</v>
      </c>
      <c r="F19" s="99">
        <v>78.29204648999999</v>
      </c>
      <c r="G19" s="100">
        <f t="shared" si="0"/>
        <v>7.956974565372317E-2</v>
      </c>
    </row>
    <row r="20" spans="2:7" ht="14.25" thickBot="1" x14ac:dyDescent="0.25">
      <c r="B20" s="141" t="s">
        <v>113</v>
      </c>
      <c r="C20" s="142">
        <v>67.457999999999998</v>
      </c>
      <c r="D20" s="142">
        <v>66.67</v>
      </c>
      <c r="E20" s="142">
        <v>65.947506579999995</v>
      </c>
      <c r="F20" s="99">
        <v>65.906000000000006</v>
      </c>
      <c r="G20" s="100">
        <f t="shared" si="0"/>
        <v>6.6981563162026886E-2</v>
      </c>
    </row>
    <row r="21" spans="2:7" ht="13.5" x14ac:dyDescent="0.2">
      <c r="B21" s="146" t="s">
        <v>122</v>
      </c>
      <c r="C21" s="147">
        <f t="shared" ref="C21:E21" si="1">C5+C17+C19+C20</f>
        <v>853.16609054000003</v>
      </c>
      <c r="D21" s="147">
        <f t="shared" si="1"/>
        <v>904.15513547</v>
      </c>
      <c r="E21" s="148">
        <f t="shared" si="1"/>
        <v>993.01179217000004</v>
      </c>
      <c r="F21" s="149">
        <f>F5+F17+F19+F20</f>
        <v>983.94239979999998</v>
      </c>
      <c r="G21" s="150">
        <f>G5+G17+G19+G20</f>
        <v>1.0000000000000002</v>
      </c>
    </row>
    <row r="22" spans="2:7" ht="14.25" thickBot="1" x14ac:dyDescent="0.25">
      <c r="B22" s="151" t="s">
        <v>20</v>
      </c>
      <c r="C22" s="142">
        <v>166.77600000000001</v>
      </c>
      <c r="D22" s="142">
        <v>144.93700000000001</v>
      </c>
      <c r="E22" s="142">
        <v>162.5</v>
      </c>
      <c r="F22" s="99">
        <v>114.152</v>
      </c>
      <c r="G22" s="152" t="s">
        <v>66</v>
      </c>
    </row>
    <row r="23" spans="2:7" ht="14.25" thickBot="1" x14ac:dyDescent="0.25">
      <c r="B23" s="153" t="s">
        <v>7</v>
      </c>
      <c r="C23" s="154">
        <f t="shared" ref="C23:E23" si="2">C21+C22</f>
        <v>1019.94209054</v>
      </c>
      <c r="D23" s="154">
        <f t="shared" si="2"/>
        <v>1049.0921354699999</v>
      </c>
      <c r="E23" s="154">
        <f t="shared" si="2"/>
        <v>1155.51179217</v>
      </c>
      <c r="F23" s="59">
        <f>F21+F22</f>
        <v>1098.0943998</v>
      </c>
      <c r="G23" s="102" t="s">
        <v>66</v>
      </c>
    </row>
    <row r="24" spans="2:7" ht="9" customHeight="1" x14ac:dyDescent="0.2">
      <c r="B24" s="42"/>
      <c r="C24" s="55"/>
      <c r="D24" s="55"/>
      <c r="E24" s="55"/>
      <c r="F24" s="158"/>
      <c r="G24" s="158"/>
    </row>
    <row r="25" spans="2:7" ht="13.5" x14ac:dyDescent="0.25">
      <c r="B25" s="44"/>
      <c r="C25" s="44"/>
      <c r="D25" s="44"/>
      <c r="E25" s="44"/>
      <c r="F25" s="55"/>
      <c r="G25" s="98" t="s">
        <v>63</v>
      </c>
    </row>
    <row r="28" spans="2:7" ht="14.25" thickBot="1" x14ac:dyDescent="0.25">
      <c r="B28" s="106" t="s">
        <v>21</v>
      </c>
      <c r="C28" s="65" t="s">
        <v>45</v>
      </c>
      <c r="D28" s="65" t="s">
        <v>17</v>
      </c>
      <c r="E28" s="65" t="s">
        <v>18</v>
      </c>
      <c r="F28" s="156" t="s">
        <v>46</v>
      </c>
      <c r="G28" s="157"/>
    </row>
    <row r="29" spans="2:7" ht="13.5" x14ac:dyDescent="0.2">
      <c r="B29" s="107" t="s">
        <v>73</v>
      </c>
      <c r="C29" s="53">
        <v>1.7543277499999999</v>
      </c>
      <c r="D29" s="53">
        <v>1.78715523</v>
      </c>
      <c r="E29" s="53">
        <v>3.0720408299999997</v>
      </c>
      <c r="F29" s="58">
        <v>6.2697599199999994</v>
      </c>
      <c r="G29" s="101">
        <f>F29/$F$35</f>
        <v>8.215291871989135E-3</v>
      </c>
    </row>
    <row r="30" spans="2:7" ht="13.5" x14ac:dyDescent="0.2">
      <c r="B30" s="107" t="s">
        <v>74</v>
      </c>
      <c r="C30" s="53">
        <v>11.947257000000002</v>
      </c>
      <c r="D30" s="53">
        <v>3.7842071800000001</v>
      </c>
      <c r="E30" s="53">
        <v>7.3818541700000004</v>
      </c>
      <c r="F30" s="58">
        <v>9.0732807599999994</v>
      </c>
      <c r="G30" s="101">
        <f t="shared" ref="G30:G34" si="3">F30/$F$35</f>
        <v>1.1888756608068561E-2</v>
      </c>
    </row>
    <row r="31" spans="2:7" ht="13.5" x14ac:dyDescent="0.2">
      <c r="B31" s="107" t="s">
        <v>75</v>
      </c>
      <c r="C31" s="53">
        <v>317.68888505000007</v>
      </c>
      <c r="D31" s="53">
        <v>301.02718516999994</v>
      </c>
      <c r="E31" s="53">
        <v>353.11978262999992</v>
      </c>
      <c r="F31" s="58">
        <v>320.64450474</v>
      </c>
      <c r="G31" s="101">
        <f t="shared" si="3"/>
        <v>0.42014179604958529</v>
      </c>
    </row>
    <row r="32" spans="2:7" ht="13.5" x14ac:dyDescent="0.2">
      <c r="B32" s="107" t="s">
        <v>76</v>
      </c>
      <c r="C32" s="53">
        <v>259.91157834000001</v>
      </c>
      <c r="D32" s="53">
        <v>354.37854847</v>
      </c>
      <c r="E32" s="53">
        <v>380.74304191000004</v>
      </c>
      <c r="F32" s="58">
        <v>387.51054088000006</v>
      </c>
      <c r="G32" s="101">
        <f t="shared" si="3"/>
        <v>0.50775663461154963</v>
      </c>
    </row>
    <row r="33" spans="2:7" ht="13.5" x14ac:dyDescent="0.2">
      <c r="B33" s="107" t="s">
        <v>78</v>
      </c>
      <c r="C33" s="53">
        <v>88.361999999999995</v>
      </c>
      <c r="D33" s="53">
        <v>21.373307949999997</v>
      </c>
      <c r="E33" s="53">
        <v>26.532453489999998</v>
      </c>
      <c r="F33" s="58">
        <v>24.727504110000002</v>
      </c>
      <c r="G33" s="101">
        <f t="shared" si="3"/>
        <v>3.2400549003710651E-2</v>
      </c>
    </row>
    <row r="34" spans="2:7" ht="14.25" thickBot="1" x14ac:dyDescent="0.25">
      <c r="B34" s="108" t="s">
        <v>79</v>
      </c>
      <c r="C34" s="53">
        <v>17.280999999999999</v>
      </c>
      <c r="D34" s="53">
        <v>38.446886700000007</v>
      </c>
      <c r="E34" s="53">
        <v>30.36</v>
      </c>
      <c r="F34" s="58">
        <v>14.956049109999999</v>
      </c>
      <c r="G34" s="101">
        <f t="shared" si="3"/>
        <v>1.9596971855096703E-2</v>
      </c>
    </row>
    <row r="35" spans="2:7" ht="14.25" thickBot="1" x14ac:dyDescent="0.25">
      <c r="B35" s="26" t="s">
        <v>7</v>
      </c>
      <c r="C35" s="57">
        <f>SUM(C29:C34)</f>
        <v>696.94504814000004</v>
      </c>
      <c r="D35" s="57">
        <f t="shared" ref="D35:E35" si="4">SUM(D29:D34)</f>
        <v>720.79729070000008</v>
      </c>
      <c r="E35" s="57">
        <f t="shared" si="4"/>
        <v>801.20917302999987</v>
      </c>
      <c r="F35" s="59">
        <f>SUM(F29:F34)</f>
        <v>763.18163952000009</v>
      </c>
      <c r="G35" s="102">
        <f>SUM(G29:G34)</f>
        <v>1</v>
      </c>
    </row>
    <row r="36" spans="2:7" ht="9" customHeight="1" x14ac:dyDescent="0.2">
      <c r="B36" s="42"/>
      <c r="C36" s="55"/>
      <c r="D36" s="55"/>
      <c r="E36" s="55"/>
      <c r="F36" s="158"/>
      <c r="G36" s="158"/>
    </row>
    <row r="37" spans="2:7" ht="13.5" x14ac:dyDescent="0.25">
      <c r="G37" s="98" t="s">
        <v>63</v>
      </c>
    </row>
    <row r="40" spans="2:7" ht="14.25" thickBot="1" x14ac:dyDescent="0.25">
      <c r="B40" s="106" t="s">
        <v>29</v>
      </c>
      <c r="C40" s="65" t="s">
        <v>45</v>
      </c>
      <c r="D40" s="65" t="s">
        <v>17</v>
      </c>
      <c r="E40" s="65" t="s">
        <v>18</v>
      </c>
      <c r="F40" s="156" t="s">
        <v>46</v>
      </c>
      <c r="G40" s="157"/>
    </row>
    <row r="41" spans="2:7" ht="13.5" x14ac:dyDescent="0.2">
      <c r="B41" s="107" t="s">
        <v>80</v>
      </c>
      <c r="C41" s="53">
        <v>10.3</v>
      </c>
      <c r="D41" s="53">
        <v>32.761487000000002</v>
      </c>
      <c r="E41" s="53">
        <v>20.803000000000001</v>
      </c>
      <c r="F41" s="58">
        <v>43.914543810000005</v>
      </c>
      <c r="G41" s="101">
        <f>F41/$F$52</f>
        <v>0.57357636815287871</v>
      </c>
    </row>
    <row r="42" spans="2:7" ht="13.5" x14ac:dyDescent="0.2">
      <c r="B42" s="109" t="s">
        <v>62</v>
      </c>
      <c r="C42" s="53">
        <v>10.3</v>
      </c>
      <c r="D42" s="53">
        <v>19.416487</v>
      </c>
      <c r="E42" s="53">
        <v>19.795000000000002</v>
      </c>
      <c r="F42" s="58">
        <v>19.594807510000003</v>
      </c>
      <c r="G42" s="101">
        <f t="shared" ref="G42:G51" si="5">F42/$F$52</f>
        <v>0.25593157872406808</v>
      </c>
    </row>
    <row r="43" spans="2:7" ht="13.5" x14ac:dyDescent="0.2">
      <c r="B43" s="107" t="s">
        <v>81</v>
      </c>
      <c r="C43" s="53">
        <v>9.1419999999999995</v>
      </c>
      <c r="D43" s="53">
        <v>5.8509550600000004</v>
      </c>
      <c r="E43" s="53">
        <v>18.32</v>
      </c>
      <c r="F43" s="58">
        <v>5.3131441399999995</v>
      </c>
      <c r="G43" s="101">
        <f t="shared" si="5"/>
        <v>6.9396005398102062E-2</v>
      </c>
    </row>
    <row r="44" spans="2:7" ht="13.5" x14ac:dyDescent="0.2">
      <c r="B44" s="107" t="s">
        <v>82</v>
      </c>
      <c r="C44" s="53">
        <v>5.3849999999999998</v>
      </c>
      <c r="D44" s="53">
        <v>5.5677613636297902</v>
      </c>
      <c r="E44" s="53">
        <v>5.3040000000000003</v>
      </c>
      <c r="F44" s="58">
        <v>5.7533986199999996</v>
      </c>
      <c r="G44" s="101">
        <f t="shared" si="5"/>
        <v>7.5146254490839573E-2</v>
      </c>
    </row>
    <row r="45" spans="2:7" ht="13.5" x14ac:dyDescent="0.2">
      <c r="B45" s="107" t="s">
        <v>77</v>
      </c>
      <c r="C45" s="53">
        <v>4.49</v>
      </c>
      <c r="D45" s="53">
        <v>4.9646156432375497</v>
      </c>
      <c r="E45" s="53">
        <v>6.1550000000000002</v>
      </c>
      <c r="F45" s="58">
        <v>7.27728047</v>
      </c>
      <c r="G45" s="101">
        <f t="shared" si="5"/>
        <v>9.5049970690165145E-2</v>
      </c>
    </row>
    <row r="46" spans="2:7" ht="13.5" x14ac:dyDescent="0.2">
      <c r="B46" s="107" t="s">
        <v>83</v>
      </c>
      <c r="C46" s="53">
        <v>1.3360000000000001</v>
      </c>
      <c r="D46" s="53">
        <v>3.8895390999999999</v>
      </c>
      <c r="E46" s="53">
        <v>1.302</v>
      </c>
      <c r="F46" s="58">
        <v>1.54452375</v>
      </c>
      <c r="G46" s="101">
        <f t="shared" si="5"/>
        <v>2.0173324056007417E-2</v>
      </c>
    </row>
    <row r="47" spans="2:7" ht="13.5" x14ac:dyDescent="0.2">
      <c r="B47" s="107" t="s">
        <v>84</v>
      </c>
      <c r="C47" s="53">
        <v>4.5439999999999996</v>
      </c>
      <c r="D47" s="53">
        <v>3.7029239999999999</v>
      </c>
      <c r="E47" s="53">
        <v>3.3940000000000001</v>
      </c>
      <c r="F47" s="58">
        <v>4.4290677999999994</v>
      </c>
      <c r="G47" s="101">
        <f t="shared" si="5"/>
        <v>5.7848912971022841E-2</v>
      </c>
    </row>
    <row r="48" spans="2:7" ht="13.5" x14ac:dyDescent="0.2">
      <c r="B48" s="107" t="s">
        <v>85</v>
      </c>
      <c r="C48" s="53">
        <v>3.9860000000000002</v>
      </c>
      <c r="D48" s="53">
        <v>1.1690634</v>
      </c>
      <c r="E48" s="53">
        <v>0</v>
      </c>
      <c r="F48" s="58">
        <v>1.1148522000000001</v>
      </c>
      <c r="G48" s="101">
        <f t="shared" si="5"/>
        <v>1.4561300663167397E-2</v>
      </c>
    </row>
    <row r="49" spans="2:7" ht="13.5" x14ac:dyDescent="0.2">
      <c r="B49" s="107" t="s">
        <v>86</v>
      </c>
      <c r="C49" s="53">
        <v>4.202</v>
      </c>
      <c r="D49" s="53">
        <v>1.15972236039</v>
      </c>
      <c r="E49" s="53">
        <v>3.6120000000000001</v>
      </c>
      <c r="F49" s="58">
        <v>4.5813446999999998</v>
      </c>
      <c r="G49" s="101">
        <f t="shared" si="5"/>
        <v>5.983783107600131E-2</v>
      </c>
    </row>
    <row r="50" spans="2:7" ht="13.5" x14ac:dyDescent="0.2">
      <c r="B50" s="107" t="s">
        <v>87</v>
      </c>
      <c r="C50" s="53">
        <v>1.7090000000000001</v>
      </c>
      <c r="D50" s="53">
        <v>0.16473599999999999</v>
      </c>
      <c r="E50" s="53">
        <v>1.137</v>
      </c>
      <c r="F50" s="58">
        <v>1.5864165000000001</v>
      </c>
      <c r="G50" s="101">
        <f t="shared" si="5"/>
        <v>2.0720493383346868E-2</v>
      </c>
    </row>
    <row r="51" spans="2:7" ht="14.25" thickBot="1" x14ac:dyDescent="0.25">
      <c r="B51" s="108" t="s">
        <v>88</v>
      </c>
      <c r="C51" s="53">
        <v>0</v>
      </c>
      <c r="D51" s="53">
        <v>0</v>
      </c>
      <c r="E51" s="53">
        <v>0.50900000000000001</v>
      </c>
      <c r="F51" s="58">
        <v>1.0481077999999999</v>
      </c>
      <c r="G51" s="101">
        <f t="shared" si="5"/>
        <v>1.3689539118468725E-2</v>
      </c>
    </row>
    <row r="52" spans="2:7" ht="14.25" thickBot="1" x14ac:dyDescent="0.25">
      <c r="B52" s="26" t="s">
        <v>7</v>
      </c>
      <c r="C52" s="57">
        <f t="shared" ref="C52" si="6">SUM(C41,C43:C51)</f>
        <v>45.093999999999994</v>
      </c>
      <c r="D52" s="57">
        <f>SUM(D41,D43:D51)</f>
        <v>59.230803927257348</v>
      </c>
      <c r="E52" s="57">
        <f t="shared" ref="E52:F52" si="7">SUM(E41,E43:E51)</f>
        <v>60.536000000000008</v>
      </c>
      <c r="F52" s="59">
        <f t="shared" si="7"/>
        <v>76.562679790000004</v>
      </c>
      <c r="G52" s="102">
        <f t="shared" ref="G52" si="8">SUM(G41,G43:G51)</f>
        <v>1.0000000000000002</v>
      </c>
    </row>
    <row r="53" spans="2:7" ht="9" customHeight="1" x14ac:dyDescent="0.2">
      <c r="B53" s="42"/>
      <c r="C53" s="55"/>
      <c r="D53" s="55"/>
      <c r="E53" s="55"/>
      <c r="F53" s="158"/>
      <c r="G53" s="158"/>
    </row>
    <row r="54" spans="2:7" ht="13.5" x14ac:dyDescent="0.25">
      <c r="G54" s="98" t="s">
        <v>63</v>
      </c>
    </row>
  </sheetData>
  <mergeCells count="6">
    <mergeCell ref="F4:G4"/>
    <mergeCell ref="F24:G24"/>
    <mergeCell ref="F28:G28"/>
    <mergeCell ref="F36:G36"/>
    <mergeCell ref="F53:G53"/>
    <mergeCell ref="F40:G40"/>
  </mergeCells>
  <hyperlinks>
    <hyperlink ref="A2" location="'Financial supplement&gt;&gt;&gt;'!A1" display="INDEX" xr:uid="{936DC339-0DD5-4EB3-A631-CC20A7D0BCEE}"/>
  </hyperlinks>
  <pageMargins left="0.7" right="0.7" top="0.75" bottom="0.75" header="0.3" footer="0.3"/>
  <pageSetup paperSize="9" orientation="portrait" r:id="rId1"/>
  <ignoredErrors>
    <ignoredError sqref="B13 C13:F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Financial supplement&gt;&gt;&gt;</vt:lpstr>
      <vt:lpstr>Balance sheet</vt:lpstr>
      <vt:lpstr>P&amp;L</vt:lpstr>
      <vt:lpstr>Business lines</vt:lpstr>
      <vt:lpstr>Motor</vt:lpstr>
      <vt:lpstr>Home</vt:lpstr>
      <vt:lpstr>Health</vt:lpstr>
      <vt:lpstr>Other</vt:lpstr>
      <vt:lpstr>Investments</vt:lpstr>
      <vt:lpstr>Solvency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dcterms:created xsi:type="dcterms:W3CDTF">2020-07-27T08:41:45Z</dcterms:created>
  <dcterms:modified xsi:type="dcterms:W3CDTF">2021-07-20T20:29:30Z</dcterms:modified>
</cp:coreProperties>
</file>